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66925"/>
  <mc:AlternateContent xmlns:mc="http://schemas.openxmlformats.org/markup-compatibility/2006">
    <mc:Choice Requires="x15">
      <x15ac:absPath xmlns:x15ac="http://schemas.microsoft.com/office/spreadsheetml/2010/11/ac" url="C:\Users\HP編集用\Documents\広報\ホームページ関係\HP掲載データ\資金繰り予定表作成支援ページ\R5.4作成シート\"/>
    </mc:Choice>
  </mc:AlternateContent>
  <xr:revisionPtr revIDLastSave="0" documentId="8_{BF5713DB-5D6B-4CAB-B04C-83ACA5393AB5}" xr6:coauthVersionLast="47" xr6:coauthVersionMax="47" xr10:uidLastSave="{00000000-0000-0000-0000-000000000000}"/>
  <bookViews>
    <workbookView xWindow="-108" yWindow="-108" windowWidth="23256" windowHeight="12456" tabRatio="624" firstSheet="3" activeTab="3" xr2:uid="{7AE1C66F-172A-4E87-AC5F-F8BD07B6455F}"/>
  </bookViews>
  <sheets>
    <sheet name="資金繰り表データ入力バージョン2 (原本)" sheetId="23" state="hidden" r:id="rId1"/>
    <sheet name="資金繰り表　バージョン2 (2)" sheetId="26" state="hidden" r:id="rId2"/>
    <sheet name="資金繰り表データ入力バージョン2 (2)" sheetId="27" state="hidden" r:id="rId3"/>
    <sheet name="資金繰り予定表 (製造原価あり)" sheetId="31" r:id="rId4"/>
    <sheet name="資金繰り予定表データ入力（製造原価あり）" sheetId="30" r:id="rId5"/>
    <sheet name="手形取引" sheetId="38" r:id="rId6"/>
    <sheet name="資金繰り表 (製造業向け)" sheetId="24" state="hidden" r:id="rId7"/>
    <sheet name="資金繰り表データ入力バージョン2　製造" sheetId="25" state="hidden" r:id="rId8"/>
    <sheet name="資金繰り表データ入力（製造）" sheetId="19" state="hidden" r:id="rId9"/>
    <sheet name="資金繰り表（製造業向け。事業者提出用）" sheetId="18" state="hidden" r:id="rId10"/>
    <sheet name="資金繰り表作成支援シート(旧)" sheetId="9" state="hidden" r:id="rId11"/>
  </sheets>
  <definedNames>
    <definedName name="_xlnm.Print_Area" localSheetId="6">'資金繰り表 (製造業向け)'!$A$1:$S$37</definedName>
    <definedName name="_xlnm.Print_Area" localSheetId="1">'資金繰り表　バージョン2 (2)'!$A$1:$S$37</definedName>
    <definedName name="_xlnm.Print_Area" localSheetId="9">'資金繰り表（製造業向け。事業者提出用）'!$A$1:$P$36</definedName>
    <definedName name="_xlnm.Print_Area" localSheetId="2">'資金繰り表データ入力バージョン2 (2)'!$A$1:$S$41</definedName>
    <definedName name="_xlnm.Print_Area" localSheetId="0">'資金繰り表データ入力バージョン2 (原本)'!$A$1:$O$32</definedName>
    <definedName name="_xlnm.Print_Area" localSheetId="10">'資金繰り表作成支援シート(旧)'!$A$2:$Q$40</definedName>
    <definedName name="_xlnm.Print_Area" localSheetId="3">'資金繰り予定表 (製造原価あり)'!$A$1:$S$40</definedName>
    <definedName name="_xlnm.Print_Area" localSheetId="4">'資金繰り予定表データ入力（製造原価あり）'!$A$1:$W$65</definedName>
    <definedName name="_xlnm.Print_Area" localSheetId="5">手形取引!$A:$U</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1" l="1"/>
  <c r="E21" i="31"/>
  <c r="F21" i="31"/>
  <c r="G21" i="31"/>
  <c r="H21" i="31"/>
  <c r="I21" i="31"/>
  <c r="J21" i="31"/>
  <c r="C21" i="31"/>
  <c r="D34" i="30"/>
  <c r="C34" i="30"/>
  <c r="D33" i="30"/>
  <c r="C33" i="30"/>
  <c r="D32" i="30"/>
  <c r="C32" i="30"/>
  <c r="D31" i="30"/>
  <c r="C31" i="30"/>
  <c r="D30" i="30"/>
  <c r="C30" i="30"/>
  <c r="D29" i="30"/>
  <c r="C29" i="30"/>
  <c r="D25" i="30"/>
  <c r="C25" i="30"/>
  <c r="D24" i="30"/>
  <c r="C24" i="30"/>
  <c r="D23" i="30"/>
  <c r="C23" i="30"/>
  <c r="D22" i="30"/>
  <c r="C22" i="30"/>
  <c r="D21" i="30"/>
  <c r="C21" i="30"/>
  <c r="D20" i="30"/>
  <c r="C20" i="30"/>
  <c r="O55" i="30" l="1"/>
  <c r="O57" i="30" s="1"/>
  <c r="X1" i="38"/>
  <c r="W1" i="38"/>
  <c r="W5" i="38" s="1"/>
  <c r="W3" i="38" s="1"/>
  <c r="Q46" i="30"/>
  <c r="O58" i="30" s="1"/>
  <c r="P16" i="30"/>
  <c r="Q16" i="30"/>
  <c r="R16" i="30"/>
  <c r="S16" i="30"/>
  <c r="T16" i="30"/>
  <c r="U16" i="30"/>
  <c r="V16" i="30"/>
  <c r="O16" i="30"/>
  <c r="O59" i="30" l="1"/>
  <c r="C35" i="30"/>
  <c r="D35" i="30"/>
  <c r="U5" i="30"/>
  <c r="V5" i="30"/>
  <c r="S5" i="30"/>
  <c r="T5" i="30"/>
  <c r="P5" i="30"/>
  <c r="Q5" i="30"/>
  <c r="R5" i="30"/>
  <c r="O5" i="30"/>
  <c r="G6" i="30"/>
  <c r="H6" i="30"/>
  <c r="I6" i="30"/>
  <c r="J6" i="30"/>
  <c r="K6" i="30"/>
  <c r="G7" i="30"/>
  <c r="H7" i="30"/>
  <c r="I7" i="30"/>
  <c r="J7" i="30"/>
  <c r="K7" i="30"/>
  <c r="D26" i="31"/>
  <c r="E26" i="31"/>
  <c r="F26" i="31"/>
  <c r="G26" i="31"/>
  <c r="H26" i="31"/>
  <c r="I26" i="31"/>
  <c r="J26" i="31"/>
  <c r="D27" i="31"/>
  <c r="E27" i="31"/>
  <c r="F27" i="31"/>
  <c r="G27" i="31"/>
  <c r="H27" i="31"/>
  <c r="I27" i="31"/>
  <c r="J27" i="31"/>
  <c r="D28" i="31"/>
  <c r="E28" i="31"/>
  <c r="F28" i="31"/>
  <c r="G28" i="31"/>
  <c r="H28" i="31"/>
  <c r="I28" i="31"/>
  <c r="J28" i="31"/>
  <c r="C28" i="31"/>
  <c r="C26" i="31"/>
  <c r="E46" i="30" l="1"/>
  <c r="F46" i="30"/>
  <c r="G46" i="30"/>
  <c r="H46" i="30"/>
  <c r="I46" i="30"/>
  <c r="J46" i="30"/>
  <c r="K46" i="30"/>
  <c r="D46" i="30"/>
  <c r="D26" i="30"/>
  <c r="C26" i="30" l="1"/>
  <c r="W10" i="38"/>
  <c r="X10" i="38" s="1"/>
  <c r="Y3" i="38" l="1"/>
  <c r="W7" i="38"/>
  <c r="X7" i="38" s="1"/>
  <c r="W6" i="38"/>
  <c r="W8" i="38"/>
  <c r="X8" i="38" s="1"/>
  <c r="Y5" i="38"/>
  <c r="W9" i="38"/>
  <c r="Y9" i="38" s="1"/>
  <c r="W4" i="38"/>
  <c r="Y10" i="38"/>
  <c r="AC10" i="38" s="1"/>
  <c r="X5" i="38"/>
  <c r="D31" i="31"/>
  <c r="C27" i="31"/>
  <c r="D22" i="31"/>
  <c r="E22" i="31"/>
  <c r="F22" i="31"/>
  <c r="G22" i="31"/>
  <c r="H22" i="31"/>
  <c r="I22" i="31"/>
  <c r="J22" i="31"/>
  <c r="C22" i="31"/>
  <c r="D19" i="31"/>
  <c r="E19" i="31"/>
  <c r="F19" i="31"/>
  <c r="G19" i="31"/>
  <c r="H19" i="31"/>
  <c r="I19" i="31"/>
  <c r="J19" i="31"/>
  <c r="C19" i="31"/>
  <c r="D18" i="31"/>
  <c r="E18" i="31"/>
  <c r="F18" i="31"/>
  <c r="G18" i="31"/>
  <c r="H18" i="31"/>
  <c r="I18" i="31"/>
  <c r="J18" i="31"/>
  <c r="C18" i="31"/>
  <c r="D17" i="31"/>
  <c r="E17" i="31"/>
  <c r="F17" i="31"/>
  <c r="G17" i="31"/>
  <c r="H17" i="31"/>
  <c r="I17" i="31"/>
  <c r="J17" i="31"/>
  <c r="X3" i="38" l="1"/>
  <c r="Y7" i="38"/>
  <c r="AA7" i="38" s="1"/>
  <c r="K14" i="30"/>
  <c r="Y8" i="38"/>
  <c r="AC8" i="38" s="1"/>
  <c r="X9" i="38"/>
  <c r="AC9" i="38" s="1"/>
  <c r="Z10" i="38"/>
  <c r="AC5" i="38"/>
  <c r="AA5" i="38"/>
  <c r="Z5" i="38"/>
  <c r="AB5" i="38"/>
  <c r="AA10" i="38"/>
  <c r="X4" i="38"/>
  <c r="Y4" i="38"/>
  <c r="Y6" i="38"/>
  <c r="X6" i="38"/>
  <c r="AB10" i="38"/>
  <c r="D10" i="31"/>
  <c r="E10" i="31"/>
  <c r="F10" i="31"/>
  <c r="G10" i="31"/>
  <c r="H10" i="31"/>
  <c r="I10" i="31"/>
  <c r="J10" i="31"/>
  <c r="C10" i="31"/>
  <c r="E5" i="31"/>
  <c r="C20" i="31"/>
  <c r="AA3" i="38" l="1"/>
  <c r="Z3" i="38"/>
  <c r="Z9" i="38"/>
  <c r="AA9" i="38"/>
  <c r="AB9" i="38"/>
  <c r="F7" i="30"/>
  <c r="V17" i="30"/>
  <c r="F6" i="30"/>
  <c r="AB7" i="38"/>
  <c r="AB3" i="38"/>
  <c r="Z7" i="38"/>
  <c r="AC7" i="38"/>
  <c r="AC3" i="38"/>
  <c r="Z8" i="38"/>
  <c r="I14" i="30"/>
  <c r="J14" i="30"/>
  <c r="K13" i="30"/>
  <c r="F14" i="30"/>
  <c r="AA8" i="38"/>
  <c r="F13" i="30"/>
  <c r="AB8" i="38"/>
  <c r="AB4" i="38"/>
  <c r="AC6" i="38"/>
  <c r="AA6" i="38"/>
  <c r="Z6" i="38"/>
  <c r="AB6" i="38"/>
  <c r="AC4" i="38"/>
  <c r="AA4" i="38"/>
  <c r="Z4" i="38"/>
  <c r="F52" i="30"/>
  <c r="F42" i="30"/>
  <c r="F37" i="30"/>
  <c r="F10" i="30"/>
  <c r="Q12" i="30" s="1"/>
  <c r="F3" i="30"/>
  <c r="Q3" i="30" s="1"/>
  <c r="D20" i="31"/>
  <c r="G20" i="31"/>
  <c r="J20" i="31"/>
  <c r="F20" i="31"/>
  <c r="I20" i="31"/>
  <c r="E20" i="31"/>
  <c r="H20" i="31"/>
  <c r="D7" i="30" l="1"/>
  <c r="J13" i="30"/>
  <c r="U8" i="30" s="1"/>
  <c r="E7" i="30"/>
  <c r="AC11" i="38"/>
  <c r="D6" i="30"/>
  <c r="H14" i="30"/>
  <c r="S17" i="30" s="1"/>
  <c r="D13" i="30"/>
  <c r="O8" i="30" s="1"/>
  <c r="H13" i="30"/>
  <c r="S8" i="30" s="1"/>
  <c r="U17" i="30"/>
  <c r="T17" i="30"/>
  <c r="Q17" i="30"/>
  <c r="D14" i="30"/>
  <c r="AB11" i="38"/>
  <c r="Z11" i="38"/>
  <c r="AA11" i="38"/>
  <c r="V8" i="30"/>
  <c r="Q8" i="30"/>
  <c r="G14" i="30"/>
  <c r="E13" i="30"/>
  <c r="E6" i="30"/>
  <c r="I13" i="30"/>
  <c r="E14" i="30"/>
  <c r="G13" i="30"/>
  <c r="P15" i="30" l="1"/>
  <c r="O15" i="30"/>
  <c r="Q15" i="30"/>
  <c r="Q18" i="30" s="1"/>
  <c r="E14" i="31" s="1"/>
  <c r="E15" i="31" s="1"/>
  <c r="V15" i="30"/>
  <c r="V18" i="30" s="1"/>
  <c r="J14" i="31" s="1"/>
  <c r="J15" i="31" s="1"/>
  <c r="S15" i="30"/>
  <c r="S18" i="30" s="1"/>
  <c r="G14" i="31" s="1"/>
  <c r="G15" i="31" s="1"/>
  <c r="U15" i="30"/>
  <c r="U18" i="30" s="1"/>
  <c r="I14" i="31" s="1"/>
  <c r="I15" i="31" s="1"/>
  <c r="T15" i="30"/>
  <c r="T18" i="30" s="1"/>
  <c r="H14" i="31" s="1"/>
  <c r="H15" i="31" s="1"/>
  <c r="R15" i="30"/>
  <c r="P4" i="30"/>
  <c r="Q4" i="30"/>
  <c r="Q9" i="30" s="1"/>
  <c r="E9" i="31" s="1"/>
  <c r="E11" i="31" s="1"/>
  <c r="O4" i="30"/>
  <c r="O9" i="30" s="1"/>
  <c r="C9" i="31" s="1"/>
  <c r="C11" i="31" s="1"/>
  <c r="V4" i="30"/>
  <c r="V9" i="30" s="1"/>
  <c r="J9" i="31" s="1"/>
  <c r="J11" i="31" s="1"/>
  <c r="U4" i="30"/>
  <c r="U9" i="30" s="1"/>
  <c r="I9" i="31" s="1"/>
  <c r="I11" i="31" s="1"/>
  <c r="R4" i="30"/>
  <c r="T4" i="30"/>
  <c r="S4" i="30"/>
  <c r="S9" i="30" s="1"/>
  <c r="G9" i="31" s="1"/>
  <c r="G11" i="31" s="1"/>
  <c r="R17" i="30"/>
  <c r="O17" i="30"/>
  <c r="P17" i="30"/>
  <c r="P8" i="30"/>
  <c r="R8" i="30"/>
  <c r="T8" i="30"/>
  <c r="P18" i="30" l="1"/>
  <c r="D14" i="31" s="1"/>
  <c r="D15" i="31" s="1"/>
  <c r="R18" i="30"/>
  <c r="F14" i="31" s="1"/>
  <c r="F15" i="31" s="1"/>
  <c r="O18" i="30"/>
  <c r="C14" i="31" s="1"/>
  <c r="C15" i="31" s="1"/>
  <c r="R9" i="30"/>
  <c r="F9" i="31" s="1"/>
  <c r="F11" i="31" s="1"/>
  <c r="P9" i="30"/>
  <c r="D9" i="31" s="1"/>
  <c r="D11" i="31" s="1"/>
  <c r="T9" i="30"/>
  <c r="H9" i="31" s="1"/>
  <c r="H11" i="31" s="1"/>
  <c r="E29" i="31" l="1"/>
  <c r="D29" i="31"/>
  <c r="C29" i="31"/>
  <c r="I5" i="31" l="1"/>
  <c r="C5" i="31"/>
  <c r="H5" i="31"/>
  <c r="D5" i="31"/>
  <c r="B58" i="30" s="1"/>
  <c r="G5" i="31"/>
  <c r="J5" i="31"/>
  <c r="F5" i="31"/>
  <c r="M22" i="31"/>
  <c r="M21" i="31"/>
  <c r="M27" i="31"/>
  <c r="R18" i="31"/>
  <c r="Q18" i="31"/>
  <c r="P18" i="31"/>
  <c r="O18" i="31"/>
  <c r="N18" i="31"/>
  <c r="M18" i="31"/>
  <c r="R17" i="31"/>
  <c r="Q17" i="31"/>
  <c r="P17" i="31"/>
  <c r="O17" i="31"/>
  <c r="N17" i="31"/>
  <c r="M17" i="31"/>
  <c r="C17" i="31"/>
  <c r="R14" i="31"/>
  <c r="R15" i="31" s="1"/>
  <c r="Q14" i="31"/>
  <c r="Q15" i="31" s="1"/>
  <c r="P14" i="31"/>
  <c r="P15" i="31" s="1"/>
  <c r="O14" i="31"/>
  <c r="O15" i="31" s="1"/>
  <c r="N14" i="31"/>
  <c r="N15" i="31" s="1"/>
  <c r="R10" i="31"/>
  <c r="P10" i="31"/>
  <c r="N10" i="31"/>
  <c r="R9" i="31"/>
  <c r="R11" i="31" s="1"/>
  <c r="Q9" i="31"/>
  <c r="P9" i="31"/>
  <c r="O9" i="31"/>
  <c r="N9" i="31"/>
  <c r="M9" i="31"/>
  <c r="L31" i="31"/>
  <c r="L30" i="31"/>
  <c r="L29" i="31"/>
  <c r="R28" i="31"/>
  <c r="Q28" i="31"/>
  <c r="P28" i="31"/>
  <c r="O28" i="31"/>
  <c r="N28" i="31"/>
  <c r="M28" i="31"/>
  <c r="L28" i="31"/>
  <c r="L27" i="31"/>
  <c r="R26" i="31"/>
  <c r="Q26" i="31"/>
  <c r="P26" i="31"/>
  <c r="O26" i="31"/>
  <c r="N26" i="31"/>
  <c r="M26" i="31"/>
  <c r="L26" i="31"/>
  <c r="L24" i="31"/>
  <c r="L23" i="31"/>
  <c r="L22" i="31"/>
  <c r="L21" i="31"/>
  <c r="L20" i="31"/>
  <c r="L19" i="31"/>
  <c r="L18" i="31"/>
  <c r="L17" i="31"/>
  <c r="L15" i="31"/>
  <c r="L14" i="31"/>
  <c r="L11" i="31"/>
  <c r="L10" i="31"/>
  <c r="L9" i="31"/>
  <c r="L6" i="31"/>
  <c r="E6" i="31"/>
  <c r="M29" i="31" l="1"/>
  <c r="N11" i="31"/>
  <c r="P11" i="31"/>
  <c r="D3" i="30"/>
  <c r="O3" i="30" s="1"/>
  <c r="E52" i="30"/>
  <c r="E42" i="30"/>
  <c r="E37" i="30"/>
  <c r="E10" i="30"/>
  <c r="P12" i="30" s="1"/>
  <c r="E3" i="30"/>
  <c r="P3" i="30" s="1"/>
  <c r="G52" i="30"/>
  <c r="G42" i="30"/>
  <c r="G37" i="30"/>
  <c r="G10" i="30"/>
  <c r="R12" i="30" s="1"/>
  <c r="G3" i="30"/>
  <c r="R3" i="30" s="1"/>
  <c r="I52" i="30"/>
  <c r="I42" i="30"/>
  <c r="I37" i="30"/>
  <c r="I10" i="30"/>
  <c r="T12" i="30" s="1"/>
  <c r="I3" i="30"/>
  <c r="T3" i="30" s="1"/>
  <c r="K52" i="30"/>
  <c r="K42" i="30"/>
  <c r="K37" i="30"/>
  <c r="K10" i="30"/>
  <c r="V12" i="30" s="1"/>
  <c r="K3" i="30"/>
  <c r="V3" i="30" s="1"/>
  <c r="D52" i="30"/>
  <c r="D42" i="30"/>
  <c r="D37" i="30"/>
  <c r="D10" i="30"/>
  <c r="O12" i="30" s="1"/>
  <c r="H52" i="30"/>
  <c r="H42" i="30"/>
  <c r="H37" i="30"/>
  <c r="H10" i="30"/>
  <c r="S12" i="30" s="1"/>
  <c r="H3" i="30"/>
  <c r="S3" i="30" s="1"/>
  <c r="J52" i="30"/>
  <c r="J42" i="30"/>
  <c r="J37" i="30"/>
  <c r="J10" i="30"/>
  <c r="U12" i="30" s="1"/>
  <c r="J3" i="30"/>
  <c r="U3" i="30" s="1"/>
  <c r="N27" i="31"/>
  <c r="N29" i="31" s="1"/>
  <c r="F29" i="31"/>
  <c r="E23" i="31"/>
  <c r="D23" i="31"/>
  <c r="C23" i="31"/>
  <c r="M20" i="31"/>
  <c r="O20" i="31"/>
  <c r="N22" i="31"/>
  <c r="N19" i="31"/>
  <c r="D13" i="31"/>
  <c r="D8" i="31"/>
  <c r="M6" i="31"/>
  <c r="E8" i="31"/>
  <c r="M8" i="31" s="1"/>
  <c r="M10" i="31"/>
  <c r="M11" i="31" s="1"/>
  <c r="Q10" i="31"/>
  <c r="Q11" i="31" s="1"/>
  <c r="M14" i="31"/>
  <c r="M15" i="31" s="1"/>
  <c r="M19" i="31"/>
  <c r="G29" i="31"/>
  <c r="E13" i="31"/>
  <c r="M13" i="31" s="1"/>
  <c r="M5" i="31"/>
  <c r="O10" i="31"/>
  <c r="O11" i="31" s="1"/>
  <c r="C24" i="31" l="1"/>
  <c r="C30" i="31" s="1"/>
  <c r="D24" i="31"/>
  <c r="D30" i="31" s="1"/>
  <c r="D6" i="31" s="1"/>
  <c r="C31" i="31" s="1"/>
  <c r="P20" i="31"/>
  <c r="N20" i="31"/>
  <c r="E24" i="31"/>
  <c r="E30" i="31" s="1"/>
  <c r="E31" i="31" s="1"/>
  <c r="F6" i="31" s="1"/>
  <c r="F23" i="31"/>
  <c r="M23" i="31"/>
  <c r="C8" i="31"/>
  <c r="C13" i="31"/>
  <c r="H29" i="31"/>
  <c r="O27" i="31"/>
  <c r="O29" i="31" s="1"/>
  <c r="N21" i="31"/>
  <c r="N5" i="31"/>
  <c r="F8" i="31"/>
  <c r="N8" i="31" s="1"/>
  <c r="F13" i="31"/>
  <c r="N13" i="31" s="1"/>
  <c r="O19" i="31"/>
  <c r="C6" i="31" l="1"/>
  <c r="O22" i="31"/>
  <c r="R20" i="31"/>
  <c r="G23" i="31"/>
  <c r="G24" i="31" s="1"/>
  <c r="G30" i="31" s="1"/>
  <c r="N23" i="31"/>
  <c r="N24" i="31" s="1"/>
  <c r="N30" i="31" s="1"/>
  <c r="F24" i="31"/>
  <c r="F30" i="31" s="1"/>
  <c r="F31" i="31" s="1"/>
  <c r="G6" i="31" s="1"/>
  <c r="M24" i="31"/>
  <c r="M30" i="31" s="1"/>
  <c r="M31" i="31" s="1"/>
  <c r="N6" i="31" s="1"/>
  <c r="H23" i="31"/>
  <c r="H24" i="31" s="1"/>
  <c r="O21" i="31"/>
  <c r="I29" i="31"/>
  <c r="P27" i="31"/>
  <c r="P29" i="31" s="1"/>
  <c r="P19" i="31"/>
  <c r="P22" i="31"/>
  <c r="G8" i="31"/>
  <c r="O8" i="31" s="1"/>
  <c r="G13" i="31"/>
  <c r="O13" i="31" s="1"/>
  <c r="O5" i="31"/>
  <c r="O23" i="31" l="1"/>
  <c r="O24" i="31" s="1"/>
  <c r="O30" i="31" s="1"/>
  <c r="Q20" i="31"/>
  <c r="N31" i="31"/>
  <c r="O6" i="31" s="1"/>
  <c r="H30" i="31"/>
  <c r="G31" i="31"/>
  <c r="H6" i="31" s="1"/>
  <c r="Q27" i="31"/>
  <c r="Q29" i="31" s="1"/>
  <c r="J29" i="31"/>
  <c r="Q19" i="31"/>
  <c r="P21" i="31"/>
  <c r="P23" i="31" s="1"/>
  <c r="P24" i="31" s="1"/>
  <c r="P30" i="31" s="1"/>
  <c r="H13" i="31"/>
  <c r="P13" i="31" s="1"/>
  <c r="H8" i="31"/>
  <c r="P8" i="31" s="1"/>
  <c r="P5" i="31"/>
  <c r="R22" i="31"/>
  <c r="Q22" i="31"/>
  <c r="O31" i="31" l="1"/>
  <c r="P6" i="31" s="1"/>
  <c r="P31" i="31" s="1"/>
  <c r="Q6" i="31" s="1"/>
  <c r="H31" i="31"/>
  <c r="I6" i="31" s="1"/>
  <c r="R27" i="31"/>
  <c r="R29" i="31" s="1"/>
  <c r="Q5" i="31"/>
  <c r="I13" i="31"/>
  <c r="Q13" i="31" s="1"/>
  <c r="I8" i="31"/>
  <c r="Q8" i="31" s="1"/>
  <c r="Q21" i="31"/>
  <c r="Q23" i="31" s="1"/>
  <c r="Q24" i="31" s="1"/>
  <c r="Q30" i="31" s="1"/>
  <c r="R21" i="31"/>
  <c r="R19" i="31"/>
  <c r="I23" i="31"/>
  <c r="I24" i="31" s="1"/>
  <c r="I30" i="31" s="1"/>
  <c r="I31" i="31" l="1"/>
  <c r="J6" i="31" s="1"/>
  <c r="J23" i="31"/>
  <c r="J24" i="31" s="1"/>
  <c r="J30" i="31" s="1"/>
  <c r="R23" i="31"/>
  <c r="R24" i="31" s="1"/>
  <c r="R30" i="31" s="1"/>
  <c r="Q31" i="31"/>
  <c r="R6" i="31" s="1"/>
  <c r="R5" i="31"/>
  <c r="J8" i="31"/>
  <c r="R8" i="31" s="1"/>
  <c r="J13" i="31"/>
  <c r="R13" i="31" s="1"/>
  <c r="J31" i="31" l="1"/>
  <c r="R31" i="31"/>
  <c r="C6" i="24" l="1"/>
  <c r="L28" i="26"/>
  <c r="L27" i="26"/>
  <c r="L26" i="26"/>
  <c r="L25" i="26"/>
  <c r="L24" i="26"/>
  <c r="C24" i="26"/>
  <c r="C26" i="26" s="1"/>
  <c r="R23" i="26"/>
  <c r="Q23" i="26"/>
  <c r="P23" i="26"/>
  <c r="O23" i="26"/>
  <c r="N23" i="26"/>
  <c r="M23" i="26"/>
  <c r="L23" i="26"/>
  <c r="L22" i="26"/>
  <c r="L21" i="26"/>
  <c r="L20" i="26"/>
  <c r="E20" i="26"/>
  <c r="F20" i="26" s="1"/>
  <c r="D20" i="26"/>
  <c r="C20" i="26"/>
  <c r="L19" i="26"/>
  <c r="E19" i="26"/>
  <c r="M19" i="26" s="1"/>
  <c r="D19" i="26"/>
  <c r="C19" i="26"/>
  <c r="L18" i="26"/>
  <c r="E18" i="26"/>
  <c r="M18" i="26" s="1"/>
  <c r="D18" i="26"/>
  <c r="C18" i="26"/>
  <c r="L17" i="26"/>
  <c r="E17" i="26"/>
  <c r="M17" i="26" s="1"/>
  <c r="D17" i="26"/>
  <c r="C17" i="26"/>
  <c r="L15" i="26"/>
  <c r="D15" i="26"/>
  <c r="C15" i="26"/>
  <c r="L14" i="26"/>
  <c r="J14" i="26"/>
  <c r="R14" i="26" s="1"/>
  <c r="I14" i="26"/>
  <c r="Q14" i="26" s="1"/>
  <c r="H14" i="26"/>
  <c r="P14" i="26" s="1"/>
  <c r="G14" i="26"/>
  <c r="O14" i="26" s="1"/>
  <c r="F14" i="26"/>
  <c r="N14" i="26" s="1"/>
  <c r="E14" i="26"/>
  <c r="M15" i="26" s="1"/>
  <c r="D14" i="26"/>
  <c r="C14" i="26"/>
  <c r="L11" i="26"/>
  <c r="D11" i="26"/>
  <c r="C11" i="26"/>
  <c r="R10" i="26"/>
  <c r="Q10" i="26"/>
  <c r="P10" i="26"/>
  <c r="O10" i="26"/>
  <c r="N10" i="26"/>
  <c r="M10" i="26"/>
  <c r="L10" i="26"/>
  <c r="L9" i="26"/>
  <c r="J9" i="26"/>
  <c r="R9" i="26" s="1"/>
  <c r="I9" i="26"/>
  <c r="Q9" i="26" s="1"/>
  <c r="H9" i="26"/>
  <c r="P9" i="26" s="1"/>
  <c r="G9" i="26"/>
  <c r="O9" i="26" s="1"/>
  <c r="F9" i="26"/>
  <c r="N9" i="26" s="1"/>
  <c r="E9" i="26"/>
  <c r="D9" i="26"/>
  <c r="C9" i="26"/>
  <c r="E8" i="26"/>
  <c r="M8" i="26" s="1"/>
  <c r="L6" i="26"/>
  <c r="C6" i="26"/>
  <c r="E5" i="26"/>
  <c r="D5" i="26" s="1"/>
  <c r="C5" i="26" s="1"/>
  <c r="L28" i="24"/>
  <c r="L27" i="24"/>
  <c r="L26" i="24"/>
  <c r="L25" i="24"/>
  <c r="L24" i="24"/>
  <c r="C24" i="24"/>
  <c r="C26" i="24" s="1"/>
  <c r="R23" i="24"/>
  <c r="Q23" i="24"/>
  <c r="P23" i="24"/>
  <c r="O23" i="24"/>
  <c r="N23" i="24"/>
  <c r="M23" i="24"/>
  <c r="L23" i="24"/>
  <c r="L22" i="24"/>
  <c r="L21" i="24"/>
  <c r="L20" i="24"/>
  <c r="E20" i="24"/>
  <c r="M20" i="24" s="1"/>
  <c r="D20" i="24"/>
  <c r="C20" i="24"/>
  <c r="L19" i="24"/>
  <c r="E19" i="24"/>
  <c r="F19" i="24" s="1"/>
  <c r="D19" i="24"/>
  <c r="C19" i="24"/>
  <c r="L18" i="24"/>
  <c r="E18" i="24"/>
  <c r="M18" i="24" s="1"/>
  <c r="D18" i="24"/>
  <c r="C18" i="24"/>
  <c r="L17" i="24"/>
  <c r="E17" i="24"/>
  <c r="M17" i="24" s="1"/>
  <c r="D17" i="24"/>
  <c r="C17" i="24"/>
  <c r="L15" i="24"/>
  <c r="D15" i="24"/>
  <c r="C15" i="24"/>
  <c r="L14" i="24"/>
  <c r="J14" i="24"/>
  <c r="R14" i="24" s="1"/>
  <c r="I14" i="24"/>
  <c r="Q14" i="24" s="1"/>
  <c r="H14" i="24"/>
  <c r="P14" i="24" s="1"/>
  <c r="G14" i="24"/>
  <c r="O14" i="24" s="1"/>
  <c r="F14" i="24"/>
  <c r="N14" i="24" s="1"/>
  <c r="E14" i="24"/>
  <c r="D14" i="24"/>
  <c r="C14" i="24"/>
  <c r="L11" i="24"/>
  <c r="D11" i="24"/>
  <c r="C11" i="24"/>
  <c r="R10" i="24"/>
  <c r="Q10" i="24"/>
  <c r="P10" i="24"/>
  <c r="O10" i="24"/>
  <c r="N10" i="24"/>
  <c r="M10" i="24"/>
  <c r="L10" i="24"/>
  <c r="L9" i="24"/>
  <c r="J9" i="24"/>
  <c r="R9" i="24" s="1"/>
  <c r="I9" i="24"/>
  <c r="Q9" i="24" s="1"/>
  <c r="H9" i="24"/>
  <c r="P9" i="24" s="1"/>
  <c r="G9" i="24"/>
  <c r="O9" i="24" s="1"/>
  <c r="F9" i="24"/>
  <c r="N9" i="24" s="1"/>
  <c r="E9" i="24"/>
  <c r="M9" i="24" s="1"/>
  <c r="D9" i="24"/>
  <c r="C9" i="24"/>
  <c r="E8" i="24"/>
  <c r="M8" i="24" s="1"/>
  <c r="L6" i="24"/>
  <c r="E5" i="24"/>
  <c r="D5" i="24" s="1"/>
  <c r="C5" i="24" s="1"/>
  <c r="M11" i="24" l="1"/>
  <c r="D24" i="26"/>
  <c r="E24" i="26" s="1"/>
  <c r="M24" i="26" s="1"/>
  <c r="M26" i="26" s="1"/>
  <c r="G11" i="24"/>
  <c r="O11" i="26"/>
  <c r="M20" i="26"/>
  <c r="M21" i="26" s="1"/>
  <c r="P15" i="24"/>
  <c r="G11" i="26"/>
  <c r="C21" i="24"/>
  <c r="C22" i="24" s="1"/>
  <c r="C27" i="24" s="1"/>
  <c r="C28" i="24" s="1"/>
  <c r="D6" i="24" s="1"/>
  <c r="F20" i="24"/>
  <c r="P15" i="26"/>
  <c r="C21" i="26"/>
  <c r="C22" i="26" s="1"/>
  <c r="C27" i="26" s="1"/>
  <c r="C28" i="26" s="1"/>
  <c r="D6" i="26" s="1"/>
  <c r="F19" i="26"/>
  <c r="N11" i="24"/>
  <c r="R11" i="24"/>
  <c r="M15" i="24"/>
  <c r="F18" i="24"/>
  <c r="N18" i="24" s="1"/>
  <c r="D24" i="24"/>
  <c r="E24" i="24" s="1"/>
  <c r="F24" i="24" s="1"/>
  <c r="P11" i="26"/>
  <c r="F18" i="26"/>
  <c r="N18" i="26" s="1"/>
  <c r="P11" i="24"/>
  <c r="D21" i="24"/>
  <c r="D22" i="24" s="1"/>
  <c r="N11" i="26"/>
  <c r="R11" i="26"/>
  <c r="M11" i="26"/>
  <c r="D21" i="26"/>
  <c r="D22" i="26" s="1"/>
  <c r="D8" i="26"/>
  <c r="C8" i="26" s="1"/>
  <c r="E13" i="26"/>
  <c r="D13" i="26" s="1"/>
  <c r="C13" i="26" s="1"/>
  <c r="G20" i="26"/>
  <c r="N20" i="26"/>
  <c r="H11" i="26"/>
  <c r="Q15" i="26"/>
  <c r="E11" i="26"/>
  <c r="I11" i="26"/>
  <c r="M14" i="26"/>
  <c r="E15" i="26"/>
  <c r="E21" i="26" s="1"/>
  <c r="I15" i="26"/>
  <c r="N15" i="26"/>
  <c r="R15" i="26"/>
  <c r="F17" i="26"/>
  <c r="Q11" i="26"/>
  <c r="H15" i="26"/>
  <c r="M5" i="26"/>
  <c r="F8" i="26"/>
  <c r="M9" i="26"/>
  <c r="F11" i="26"/>
  <c r="J11" i="26"/>
  <c r="F15" i="26"/>
  <c r="J15" i="26"/>
  <c r="O15" i="26"/>
  <c r="F5" i="26"/>
  <c r="G15" i="26"/>
  <c r="D8" i="24"/>
  <c r="C8" i="24" s="1"/>
  <c r="E13" i="24"/>
  <c r="D13" i="24" s="1"/>
  <c r="C13" i="24" s="1"/>
  <c r="G19" i="24"/>
  <c r="N19" i="24"/>
  <c r="E11" i="24"/>
  <c r="I11" i="24"/>
  <c r="M14" i="24"/>
  <c r="E15" i="24"/>
  <c r="E21" i="24" s="1"/>
  <c r="I15" i="24"/>
  <c r="N15" i="24"/>
  <c r="R15" i="24"/>
  <c r="F17" i="24"/>
  <c r="M19" i="24"/>
  <c r="Q11" i="24"/>
  <c r="Q15" i="24"/>
  <c r="F5" i="24"/>
  <c r="F11" i="24"/>
  <c r="J11" i="24"/>
  <c r="O11" i="24"/>
  <c r="F15" i="24"/>
  <c r="J15" i="24"/>
  <c r="O15" i="24"/>
  <c r="H11" i="24"/>
  <c r="H15" i="24"/>
  <c r="M5" i="24"/>
  <c r="F8" i="24"/>
  <c r="G15" i="24"/>
  <c r="E26" i="24" l="1"/>
  <c r="M21" i="24"/>
  <c r="M22" i="24" s="1"/>
  <c r="G18" i="26"/>
  <c r="H18" i="26" s="1"/>
  <c r="G18" i="24"/>
  <c r="H18" i="24" s="1"/>
  <c r="F21" i="26"/>
  <c r="F22" i="26" s="1"/>
  <c r="E26" i="26"/>
  <c r="F24" i="26"/>
  <c r="G24" i="26" s="1"/>
  <c r="D26" i="26"/>
  <c r="D27" i="26" s="1"/>
  <c r="D28" i="26" s="1"/>
  <c r="E6" i="26" s="1"/>
  <c r="M22" i="26"/>
  <c r="M27" i="26" s="1"/>
  <c r="M24" i="24"/>
  <c r="M26" i="24" s="1"/>
  <c r="F21" i="24"/>
  <c r="F22" i="24" s="1"/>
  <c r="E22" i="24"/>
  <c r="N20" i="24"/>
  <c r="G20" i="24"/>
  <c r="D26" i="24"/>
  <c r="D27" i="24" s="1"/>
  <c r="D28" i="24" s="1"/>
  <c r="E6" i="24" s="1"/>
  <c r="N19" i="26"/>
  <c r="G19" i="26"/>
  <c r="M13" i="26"/>
  <c r="N5" i="26"/>
  <c r="G5" i="26"/>
  <c r="G8" i="26"/>
  <c r="F13" i="26"/>
  <c r="N13" i="26" s="1"/>
  <c r="N8" i="26"/>
  <c r="E22" i="26"/>
  <c r="G17" i="26"/>
  <c r="N17" i="26"/>
  <c r="O20" i="26"/>
  <c r="H20" i="26"/>
  <c r="M13" i="24"/>
  <c r="G8" i="24"/>
  <c r="F13" i="24"/>
  <c r="N13" i="24" s="1"/>
  <c r="N8" i="24"/>
  <c r="G24" i="24"/>
  <c r="F26" i="24"/>
  <c r="N24" i="24"/>
  <c r="N26" i="24" s="1"/>
  <c r="N17" i="24"/>
  <c r="G17" i="24"/>
  <c r="N5" i="24"/>
  <c r="G5" i="24"/>
  <c r="O19" i="24"/>
  <c r="H19" i="24"/>
  <c r="E27" i="24" l="1"/>
  <c r="E28" i="24" s="1"/>
  <c r="F6" i="24" s="1"/>
  <c r="O18" i="26"/>
  <c r="O18" i="24"/>
  <c r="M27" i="24"/>
  <c r="N24" i="26"/>
  <c r="N26" i="26" s="1"/>
  <c r="F26" i="26"/>
  <c r="F27" i="26" s="1"/>
  <c r="N21" i="24"/>
  <c r="N22" i="24" s="1"/>
  <c r="N27" i="24" s="1"/>
  <c r="E27" i="26"/>
  <c r="E28" i="26" s="1"/>
  <c r="F6" i="26" s="1"/>
  <c r="F27" i="24"/>
  <c r="G21" i="26"/>
  <c r="G22" i="26" s="1"/>
  <c r="M6" i="24"/>
  <c r="N21" i="26"/>
  <c r="N22" i="26" s="1"/>
  <c r="O19" i="26"/>
  <c r="H19" i="26"/>
  <c r="O20" i="24"/>
  <c r="H20" i="24"/>
  <c r="M6" i="26"/>
  <c r="M28" i="26" s="1"/>
  <c r="N6" i="26" s="1"/>
  <c r="P20" i="26"/>
  <c r="I20" i="26"/>
  <c r="H17" i="26"/>
  <c r="O17" i="26"/>
  <c r="H8" i="26"/>
  <c r="G13" i="26"/>
  <c r="O13" i="26" s="1"/>
  <c r="O8" i="26"/>
  <c r="I18" i="26"/>
  <c r="P18" i="26"/>
  <c r="H5" i="26"/>
  <c r="O5" i="26"/>
  <c r="G26" i="26"/>
  <c r="O24" i="26"/>
  <c r="O26" i="26" s="1"/>
  <c r="H24" i="26"/>
  <c r="P19" i="24"/>
  <c r="I19" i="24"/>
  <c r="I18" i="24"/>
  <c r="P18" i="24"/>
  <c r="H17" i="24"/>
  <c r="O17" i="24"/>
  <c r="H5" i="24"/>
  <c r="O5" i="24"/>
  <c r="G21" i="24"/>
  <c r="G22" i="24" s="1"/>
  <c r="G26" i="24"/>
  <c r="O24" i="24"/>
  <c r="O26" i="24" s="1"/>
  <c r="H24" i="24"/>
  <c r="G13" i="24"/>
  <c r="O13" i="24" s="1"/>
  <c r="H8" i="24"/>
  <c r="O8" i="24"/>
  <c r="N27" i="26" l="1"/>
  <c r="N28" i="26" s="1"/>
  <c r="O6" i="26" s="1"/>
  <c r="M28" i="24"/>
  <c r="N6" i="24" s="1"/>
  <c r="N28" i="24" s="1"/>
  <c r="O6" i="24" s="1"/>
  <c r="O21" i="24"/>
  <c r="O22" i="24" s="1"/>
  <c r="O27" i="24" s="1"/>
  <c r="F28" i="26"/>
  <c r="G6" i="26" s="1"/>
  <c r="F28" i="24"/>
  <c r="G6" i="24" s="1"/>
  <c r="G27" i="26"/>
  <c r="P20" i="24"/>
  <c r="I20" i="24"/>
  <c r="O21" i="26"/>
  <c r="O22" i="26" s="1"/>
  <c r="O27" i="26" s="1"/>
  <c r="I19" i="26"/>
  <c r="P19" i="26"/>
  <c r="H13" i="26"/>
  <c r="P13" i="26" s="1"/>
  <c r="P8" i="26"/>
  <c r="I8" i="26"/>
  <c r="I17" i="26"/>
  <c r="P17" i="26"/>
  <c r="H21" i="26"/>
  <c r="H22" i="26" s="1"/>
  <c r="J20" i="26"/>
  <c r="R20" i="26" s="1"/>
  <c r="Q20" i="26"/>
  <c r="P24" i="26"/>
  <c r="P26" i="26" s="1"/>
  <c r="H26" i="26"/>
  <c r="I24" i="26"/>
  <c r="P5" i="26"/>
  <c r="I5" i="26"/>
  <c r="J18" i="26"/>
  <c r="R18" i="26" s="1"/>
  <c r="Q18" i="26"/>
  <c r="H13" i="24"/>
  <c r="P13" i="24" s="1"/>
  <c r="P8" i="24"/>
  <c r="I8" i="24"/>
  <c r="J19" i="24"/>
  <c r="R19" i="24" s="1"/>
  <c r="Q19" i="24"/>
  <c r="G27" i="24"/>
  <c r="P17" i="24"/>
  <c r="I17" i="24"/>
  <c r="H21" i="24"/>
  <c r="H22" i="24" s="1"/>
  <c r="P24" i="24"/>
  <c r="P26" i="24" s="1"/>
  <c r="H26" i="24"/>
  <c r="I24" i="24"/>
  <c r="P5" i="24"/>
  <c r="I5" i="24"/>
  <c r="Q18" i="24"/>
  <c r="J18" i="24"/>
  <c r="R18" i="24" s="1"/>
  <c r="G28" i="24" l="1"/>
  <c r="H6" i="24" s="1"/>
  <c r="P21" i="26"/>
  <c r="P22" i="26" s="1"/>
  <c r="P27" i="26" s="1"/>
  <c r="G28" i="26"/>
  <c r="H6" i="26" s="1"/>
  <c r="O28" i="24"/>
  <c r="P6" i="24" s="1"/>
  <c r="P21" i="24"/>
  <c r="P22" i="24" s="1"/>
  <c r="P27" i="24" s="1"/>
  <c r="O28" i="26"/>
  <c r="P6" i="26" s="1"/>
  <c r="Q20" i="24"/>
  <c r="J20" i="24"/>
  <c r="R20" i="24" s="1"/>
  <c r="J19" i="26"/>
  <c r="R19" i="26" s="1"/>
  <c r="Q19" i="26"/>
  <c r="Q8" i="26"/>
  <c r="I13" i="26"/>
  <c r="Q13" i="26" s="1"/>
  <c r="J8" i="26"/>
  <c r="Q5" i="26"/>
  <c r="J5" i="26"/>
  <c r="R5" i="26" s="1"/>
  <c r="H27" i="26"/>
  <c r="J24" i="26"/>
  <c r="I26" i="26"/>
  <c r="Q24" i="26"/>
  <c r="Q26" i="26" s="1"/>
  <c r="Q17" i="26"/>
  <c r="J17" i="26"/>
  <c r="I21" i="26"/>
  <c r="I22" i="26" s="1"/>
  <c r="I27" i="26" s="1"/>
  <c r="Q8" i="24"/>
  <c r="J8" i="24"/>
  <c r="I13" i="24"/>
  <c r="Q13" i="24" s="1"/>
  <c r="J5" i="24"/>
  <c r="R5" i="24" s="1"/>
  <c r="Q5" i="24"/>
  <c r="H27" i="24"/>
  <c r="Q24" i="24"/>
  <c r="Q26" i="24" s="1"/>
  <c r="J24" i="24"/>
  <c r="I26" i="24"/>
  <c r="Q17" i="24"/>
  <c r="J17" i="24"/>
  <c r="I21" i="24"/>
  <c r="I22" i="24" s="1"/>
  <c r="H28" i="24" l="1"/>
  <c r="I6" i="24" s="1"/>
  <c r="H28" i="26"/>
  <c r="I6" i="26" s="1"/>
  <c r="I28" i="26" s="1"/>
  <c r="J6" i="26" s="1"/>
  <c r="Q21" i="26"/>
  <c r="Q22" i="26" s="1"/>
  <c r="Q27" i="26" s="1"/>
  <c r="Q21" i="24"/>
  <c r="Q22" i="24" s="1"/>
  <c r="Q27" i="24" s="1"/>
  <c r="P28" i="24"/>
  <c r="Q6" i="24" s="1"/>
  <c r="I27" i="24"/>
  <c r="P28" i="26"/>
  <c r="Q6" i="26" s="1"/>
  <c r="R17" i="26"/>
  <c r="R21" i="26" s="1"/>
  <c r="R22" i="26" s="1"/>
  <c r="J21" i="26"/>
  <c r="J22" i="26" s="1"/>
  <c r="J26" i="26"/>
  <c r="R24" i="26"/>
  <c r="R26" i="26" s="1"/>
  <c r="R8" i="26"/>
  <c r="J13" i="26"/>
  <c r="R13" i="26" s="1"/>
  <c r="R8" i="24"/>
  <c r="J13" i="24"/>
  <c r="R13" i="24" s="1"/>
  <c r="J26" i="24"/>
  <c r="R24" i="24"/>
  <c r="R26" i="24" s="1"/>
  <c r="R17" i="24"/>
  <c r="R21" i="24" s="1"/>
  <c r="R22" i="24" s="1"/>
  <c r="J21" i="24"/>
  <c r="J22" i="24" s="1"/>
  <c r="I28" i="24" l="1"/>
  <c r="J6" i="24" s="1"/>
  <c r="Q28" i="24"/>
  <c r="R6" i="24" s="1"/>
  <c r="J27" i="24"/>
  <c r="Q28" i="26"/>
  <c r="R6" i="26" s="1"/>
  <c r="J27" i="26"/>
  <c r="J28" i="26" s="1"/>
  <c r="R27" i="26"/>
  <c r="R27" i="24"/>
  <c r="J28" i="24" l="1"/>
  <c r="R28" i="24"/>
  <c r="R28" i="26"/>
  <c r="J35" i="18" l="1"/>
  <c r="H35" i="18"/>
  <c r="H34" i="18"/>
  <c r="J34" i="18"/>
  <c r="J33" i="18"/>
  <c r="C35" i="18"/>
  <c r="E35" i="18"/>
  <c r="E34" i="18"/>
  <c r="C34" i="18"/>
  <c r="E33" i="18"/>
  <c r="J26" i="18" l="1"/>
  <c r="C22" i="18" l="1"/>
  <c r="D22" i="18" s="1"/>
  <c r="C21" i="18"/>
  <c r="K21" i="18" s="1"/>
  <c r="C25" i="18"/>
  <c r="K25" i="18" s="1"/>
  <c r="C20" i="18"/>
  <c r="D20" i="18" s="1"/>
  <c r="L20" i="18" s="1"/>
  <c r="C19" i="18"/>
  <c r="D19" i="18" s="1"/>
  <c r="C18" i="18"/>
  <c r="D18" i="18" s="1"/>
  <c r="H17" i="18"/>
  <c r="P17" i="18" s="1"/>
  <c r="G17" i="18"/>
  <c r="O17" i="18" s="1"/>
  <c r="F17" i="18"/>
  <c r="N17" i="18" s="1"/>
  <c r="E17" i="18"/>
  <c r="M17" i="18" s="1"/>
  <c r="D17" i="18"/>
  <c r="L17" i="18" s="1"/>
  <c r="C17" i="18"/>
  <c r="H16" i="18"/>
  <c r="P16" i="18" s="1"/>
  <c r="G16" i="18"/>
  <c r="O16" i="18" s="1"/>
  <c r="F16" i="18"/>
  <c r="N16" i="18" s="1"/>
  <c r="E16" i="18"/>
  <c r="M16" i="18" s="1"/>
  <c r="D16" i="18"/>
  <c r="L16" i="18" s="1"/>
  <c r="C16" i="18"/>
  <c r="H13" i="18"/>
  <c r="P13" i="18" s="1"/>
  <c r="G13" i="18"/>
  <c r="F13" i="18"/>
  <c r="N13" i="18" s="1"/>
  <c r="E13" i="18"/>
  <c r="D13" i="18"/>
  <c r="L13" i="18" s="1"/>
  <c r="C13" i="18"/>
  <c r="H9" i="18"/>
  <c r="P9" i="18" s="1"/>
  <c r="G9" i="18"/>
  <c r="F9" i="18"/>
  <c r="N9" i="18" s="1"/>
  <c r="E9" i="18"/>
  <c r="M9" i="18" s="1"/>
  <c r="D9" i="18"/>
  <c r="C9" i="18"/>
  <c r="C6" i="18"/>
  <c r="K6" i="18" s="1"/>
  <c r="J27" i="18"/>
  <c r="J24" i="18"/>
  <c r="J23" i="18"/>
  <c r="J22" i="18"/>
  <c r="J21" i="18"/>
  <c r="D21" i="18"/>
  <c r="J25" i="18"/>
  <c r="J20" i="18"/>
  <c r="J19" i="18"/>
  <c r="K18" i="18"/>
  <c r="J18" i="18"/>
  <c r="J17" i="18"/>
  <c r="K17" i="18"/>
  <c r="K16" i="18"/>
  <c r="J14" i="18"/>
  <c r="J13" i="18"/>
  <c r="C12" i="18"/>
  <c r="D12" i="18" s="1"/>
  <c r="L12" i="18" s="1"/>
  <c r="J10" i="18"/>
  <c r="J9" i="18"/>
  <c r="C8" i="18"/>
  <c r="J6" i="18"/>
  <c r="C5" i="18"/>
  <c r="K5" i="18" s="1"/>
  <c r="C10" i="18" l="1"/>
  <c r="K9" i="18"/>
  <c r="K13" i="18"/>
  <c r="C14" i="18"/>
  <c r="K22" i="18"/>
  <c r="F10" i="18"/>
  <c r="N10" i="18" s="1"/>
  <c r="D14" i="18"/>
  <c r="L9" i="18"/>
  <c r="D10" i="18"/>
  <c r="L10" i="18" s="1"/>
  <c r="C23" i="18"/>
  <c r="G14" i="18"/>
  <c r="O14" i="18" s="1"/>
  <c r="H14" i="18"/>
  <c r="P14" i="18" s="1"/>
  <c r="K20" i="18"/>
  <c r="L19" i="18"/>
  <c r="E19" i="18"/>
  <c r="M19" i="18" s="1"/>
  <c r="K19" i="18"/>
  <c r="O13" i="18"/>
  <c r="H10" i="18"/>
  <c r="P10" i="18" s="1"/>
  <c r="E10" i="18"/>
  <c r="M10" i="18" s="1"/>
  <c r="K12" i="18"/>
  <c r="D5" i="18"/>
  <c r="L5" i="18" s="1"/>
  <c r="L14" i="18"/>
  <c r="F14" i="18"/>
  <c r="E21" i="18"/>
  <c r="L21" i="18"/>
  <c r="E22" i="18"/>
  <c r="L22" i="18"/>
  <c r="K14" i="18"/>
  <c r="E18" i="18"/>
  <c r="L18" i="18"/>
  <c r="K8" i="18"/>
  <c r="D8" i="18"/>
  <c r="M13" i="18"/>
  <c r="E14" i="18"/>
  <c r="O9" i="18"/>
  <c r="G10" i="18"/>
  <c r="E12" i="18"/>
  <c r="E20" i="18"/>
  <c r="D25" i="18"/>
  <c r="F19" i="18" l="1"/>
  <c r="N19" i="18" s="1"/>
  <c r="D23" i="18"/>
  <c r="D24" i="18" s="1"/>
  <c r="C24" i="18"/>
  <c r="C27" i="18" s="1"/>
  <c r="D6" i="18" s="1"/>
  <c r="K23" i="18"/>
  <c r="E5" i="18"/>
  <c r="F5" i="18" s="1"/>
  <c r="N14" i="18"/>
  <c r="L23" i="18"/>
  <c r="L24" i="18" s="1"/>
  <c r="M18" i="18"/>
  <c r="F18" i="18"/>
  <c r="M22" i="18"/>
  <c r="F22" i="18"/>
  <c r="O10" i="18"/>
  <c r="L8" i="18"/>
  <c r="E8" i="18"/>
  <c r="E25" i="18"/>
  <c r="E23" i="18" s="1"/>
  <c r="E24" i="18" s="1"/>
  <c r="L25" i="18"/>
  <c r="M12" i="18"/>
  <c r="F12" i="18"/>
  <c r="M21" i="18"/>
  <c r="F21" i="18"/>
  <c r="M20" i="18"/>
  <c r="F20" i="18"/>
  <c r="K10" i="18"/>
  <c r="M14" i="18"/>
  <c r="G19" i="18" l="1"/>
  <c r="O19" i="18" s="1"/>
  <c r="D27" i="18"/>
  <c r="E6" i="18" s="1"/>
  <c r="E27" i="18" s="1"/>
  <c r="F6" i="18" s="1"/>
  <c r="K24" i="18"/>
  <c r="M5" i="18"/>
  <c r="F8" i="18"/>
  <c r="M8" i="18"/>
  <c r="F25" i="18"/>
  <c r="F23" i="18" s="1"/>
  <c r="F24" i="18" s="1"/>
  <c r="M25" i="18"/>
  <c r="M23" i="18" s="1"/>
  <c r="M24" i="18" s="1"/>
  <c r="H19" i="18"/>
  <c r="P19" i="18" s="1"/>
  <c r="N21" i="18"/>
  <c r="G21" i="18"/>
  <c r="N22" i="18"/>
  <c r="G22" i="18"/>
  <c r="G20" i="18"/>
  <c r="N20" i="18"/>
  <c r="N12" i="18"/>
  <c r="G12" i="18"/>
  <c r="N18" i="18"/>
  <c r="G18" i="18"/>
  <c r="G5" i="18"/>
  <c r="N5" i="18"/>
  <c r="F27" i="18" l="1"/>
  <c r="G6" i="18" s="1"/>
  <c r="K27" i="18"/>
  <c r="L6" i="18" s="1"/>
  <c r="O5" i="18"/>
  <c r="H5" i="18"/>
  <c r="P5" i="18" s="1"/>
  <c r="H20" i="18"/>
  <c r="P20" i="18" s="1"/>
  <c r="O20" i="18"/>
  <c r="G25" i="18"/>
  <c r="N25" i="18"/>
  <c r="N23" i="18" s="1"/>
  <c r="N24" i="18" s="1"/>
  <c r="N8" i="18"/>
  <c r="G8" i="18"/>
  <c r="O21" i="18"/>
  <c r="H21" i="18"/>
  <c r="P21" i="18" s="1"/>
  <c r="H12" i="18"/>
  <c r="P12" i="18" s="1"/>
  <c r="O12" i="18"/>
  <c r="H18" i="18"/>
  <c r="O18" i="18"/>
  <c r="H22" i="18"/>
  <c r="P22" i="18" s="1"/>
  <c r="O22" i="18"/>
  <c r="L27" i="18" l="1"/>
  <c r="M6" i="18" s="1"/>
  <c r="M27" i="18" s="1"/>
  <c r="N6" i="18" s="1"/>
  <c r="N27" i="18" s="1"/>
  <c r="O6" i="18" s="1"/>
  <c r="P18" i="18"/>
  <c r="O25" i="18"/>
  <c r="O23" i="18" s="1"/>
  <c r="O24" i="18" s="1"/>
  <c r="H25" i="18"/>
  <c r="P25" i="18" s="1"/>
  <c r="G23" i="18"/>
  <c r="G24" i="18" s="1"/>
  <c r="O8" i="18"/>
  <c r="H8" i="18"/>
  <c r="P8" i="18" s="1"/>
  <c r="O27" i="18" l="1"/>
  <c r="P6" i="18" s="1"/>
  <c r="G27" i="18"/>
  <c r="H6" i="18" s="1"/>
  <c r="H23" i="18"/>
  <c r="H24" i="18" s="1"/>
  <c r="P23" i="18"/>
  <c r="P24" i="18" s="1"/>
  <c r="H27" i="18" l="1"/>
  <c r="P27" i="18"/>
  <c r="G36" i="9" l="1"/>
  <c r="F36" i="9"/>
  <c r="E36" i="9"/>
  <c r="D36" i="9"/>
  <c r="C36" i="9"/>
  <c r="B36" i="9"/>
  <c r="G30" i="9"/>
  <c r="F30" i="9"/>
  <c r="E30" i="9"/>
  <c r="D30" i="9"/>
  <c r="C30" i="9"/>
  <c r="B30" i="9"/>
  <c r="B32" i="9" s="1"/>
  <c r="G22" i="9"/>
  <c r="G31" i="9" s="1"/>
  <c r="G37" i="9" s="1"/>
  <c r="F22" i="9"/>
  <c r="F31" i="9" s="1"/>
  <c r="F37" i="9" s="1"/>
  <c r="E22" i="9"/>
  <c r="E32" i="9" s="1"/>
  <c r="D22" i="9"/>
  <c r="D32" i="9" s="1"/>
  <c r="C22" i="9"/>
  <c r="C31" i="9" s="1"/>
  <c r="C37" i="9" s="1"/>
  <c r="B22" i="9"/>
  <c r="B12" i="9"/>
  <c r="B10" i="9"/>
  <c r="B8" i="9"/>
  <c r="B6" i="9"/>
  <c r="G4" i="9"/>
  <c r="E4" i="9"/>
  <c r="G3" i="9"/>
  <c r="G2" i="9"/>
  <c r="E2" i="9"/>
  <c r="B2" i="9"/>
  <c r="F32" i="9" l="1"/>
  <c r="B31" i="9"/>
  <c r="B37" i="9" s="1"/>
  <c r="B38" i="9" s="1"/>
  <c r="C17" i="9" s="1"/>
  <c r="C38" i="9" s="1"/>
  <c r="D17" i="9" s="1"/>
  <c r="E31" i="9"/>
  <c r="E37" i="9" s="1"/>
  <c r="C32" i="9"/>
  <c r="G32" i="9"/>
  <c r="D31" i="9"/>
  <c r="D37" i="9" s="1"/>
  <c r="D38" i="9" l="1"/>
  <c r="E17" i="9" s="1"/>
  <c r="E38" i="9" s="1"/>
  <c r="F17" i="9" s="1"/>
  <c r="F38" i="9" s="1"/>
  <c r="G17" i="9" s="1"/>
  <c r="G38" i="9" s="1"/>
</calcChain>
</file>

<file path=xl/sharedStrings.xml><?xml version="1.0" encoding="utf-8"?>
<sst xmlns="http://schemas.openxmlformats.org/spreadsheetml/2006/main" count="690" uniqueCount="276">
  <si>
    <t>顧客名</t>
    <rPh sb="0" eb="2">
      <t>コキャク</t>
    </rPh>
    <rPh sb="2" eb="3">
      <t>メイ</t>
    </rPh>
    <phoneticPr fontId="3"/>
  </si>
  <si>
    <t>代表者氏名</t>
    <rPh sb="0" eb="3">
      <t>ダイヒョウシャ</t>
    </rPh>
    <rPh sb="3" eb="5">
      <t>シメイ</t>
    </rPh>
    <phoneticPr fontId="3"/>
  </si>
  <si>
    <t>年齢</t>
    <rPh sb="0" eb="2">
      <t>ネンレイ</t>
    </rPh>
    <phoneticPr fontId="3"/>
  </si>
  <si>
    <t>資本金</t>
    <rPh sb="0" eb="3">
      <t>シホンキン</t>
    </rPh>
    <phoneticPr fontId="3"/>
  </si>
  <si>
    <t>万円</t>
    <rPh sb="0" eb="2">
      <t>マンエン</t>
    </rPh>
    <phoneticPr fontId="3"/>
  </si>
  <si>
    <t>年商</t>
    <rPh sb="0" eb="2">
      <t>ネンショウ</t>
    </rPh>
    <phoneticPr fontId="3"/>
  </si>
  <si>
    <t>従業員数</t>
    <rPh sb="0" eb="3">
      <t>ジュウギョウイン</t>
    </rPh>
    <rPh sb="3" eb="4">
      <t>スウ</t>
    </rPh>
    <phoneticPr fontId="3"/>
  </si>
  <si>
    <t>事業承継予定者</t>
    <rPh sb="0" eb="2">
      <t>ジギョウ</t>
    </rPh>
    <rPh sb="2" eb="4">
      <t>ショウケイ</t>
    </rPh>
    <rPh sb="4" eb="7">
      <t>ヨテイシャ</t>
    </rPh>
    <phoneticPr fontId="3"/>
  </si>
  <si>
    <t>主要金融機関</t>
    <rPh sb="0" eb="2">
      <t>シュヨウ</t>
    </rPh>
    <rPh sb="2" eb="4">
      <t>キンユウ</t>
    </rPh>
    <rPh sb="4" eb="6">
      <t>キカン</t>
    </rPh>
    <phoneticPr fontId="3"/>
  </si>
  <si>
    <t>沿革</t>
    <rPh sb="0" eb="2">
      <t>エンカク</t>
    </rPh>
    <phoneticPr fontId="3"/>
  </si>
  <si>
    <t>事業内容</t>
    <rPh sb="0" eb="2">
      <t>ジギョウ</t>
    </rPh>
    <rPh sb="2" eb="4">
      <t>ナイヨウ</t>
    </rPh>
    <phoneticPr fontId="3"/>
  </si>
  <si>
    <t>（単位：千円）</t>
    <rPh sb="1" eb="3">
      <t>タンイ</t>
    </rPh>
    <rPh sb="4" eb="6">
      <t>センエン</t>
    </rPh>
    <phoneticPr fontId="3"/>
  </si>
  <si>
    <t>収支区分</t>
    <rPh sb="0" eb="2">
      <t>シュウシ</t>
    </rPh>
    <rPh sb="2" eb="4">
      <t>クブン</t>
    </rPh>
    <phoneticPr fontId="3"/>
  </si>
  <si>
    <t>令和3年4月</t>
    <rPh sb="0" eb="2">
      <t>レイワ</t>
    </rPh>
    <rPh sb="3" eb="4">
      <t>ネン</t>
    </rPh>
    <rPh sb="5" eb="6">
      <t>ガツ</t>
    </rPh>
    <phoneticPr fontId="3"/>
  </si>
  <si>
    <t>令和3年5月</t>
    <rPh sb="0" eb="2">
      <t>レイワ</t>
    </rPh>
    <rPh sb="3" eb="4">
      <t>ネン</t>
    </rPh>
    <rPh sb="5" eb="6">
      <t>ガツ</t>
    </rPh>
    <phoneticPr fontId="3"/>
  </si>
  <si>
    <t>令和3年6月</t>
    <rPh sb="0" eb="2">
      <t>レイワ</t>
    </rPh>
    <rPh sb="3" eb="4">
      <t>ネン</t>
    </rPh>
    <rPh sb="5" eb="6">
      <t>ガツ</t>
    </rPh>
    <phoneticPr fontId="3"/>
  </si>
  <si>
    <t>令和3年7月</t>
    <rPh sb="0" eb="2">
      <t>レイワ</t>
    </rPh>
    <rPh sb="3" eb="4">
      <t>ネン</t>
    </rPh>
    <rPh sb="5" eb="6">
      <t>ガツ</t>
    </rPh>
    <phoneticPr fontId="3"/>
  </si>
  <si>
    <t>令和3年8月</t>
    <rPh sb="0" eb="2">
      <t>レイワ</t>
    </rPh>
    <rPh sb="3" eb="4">
      <t>ネン</t>
    </rPh>
    <rPh sb="5" eb="6">
      <t>ガツ</t>
    </rPh>
    <phoneticPr fontId="3"/>
  </si>
  <si>
    <t>令和3年9月</t>
    <rPh sb="0" eb="2">
      <t>レイワ</t>
    </rPh>
    <rPh sb="3" eb="4">
      <t>ネン</t>
    </rPh>
    <rPh sb="5" eb="6">
      <t>ガツ</t>
    </rPh>
    <phoneticPr fontId="3"/>
  </si>
  <si>
    <t>②現金売上</t>
    <rPh sb="1" eb="3">
      <t>ゲンキン</t>
    </rPh>
    <rPh sb="3" eb="5">
      <t>ウリアゲ</t>
    </rPh>
    <phoneticPr fontId="3"/>
  </si>
  <si>
    <t>⑤その他収入</t>
    <rPh sb="3" eb="4">
      <t>タ</t>
    </rPh>
    <rPh sb="4" eb="6">
      <t>シュウニュウ</t>
    </rPh>
    <phoneticPr fontId="3"/>
  </si>
  <si>
    <t>⑥経常収入
（②～⑤合算）</t>
    <rPh sb="1" eb="3">
      <t>ケイジョウ</t>
    </rPh>
    <rPh sb="3" eb="5">
      <t>シュウニュウ</t>
    </rPh>
    <rPh sb="10" eb="12">
      <t>ガッサン</t>
    </rPh>
    <phoneticPr fontId="3"/>
  </si>
  <si>
    <t>⑦現金仕入</t>
    <rPh sb="1" eb="3">
      <t>ゲンキン</t>
    </rPh>
    <rPh sb="3" eb="5">
      <t>シイ</t>
    </rPh>
    <phoneticPr fontId="3"/>
  </si>
  <si>
    <t>⑩人件費支払</t>
    <rPh sb="1" eb="4">
      <t>ジンケンヒ</t>
    </rPh>
    <rPh sb="4" eb="6">
      <t>シハラ</t>
    </rPh>
    <phoneticPr fontId="3"/>
  </si>
  <si>
    <t>⑰借入金調達</t>
    <rPh sb="1" eb="3">
      <t>カリイレ</t>
    </rPh>
    <rPh sb="3" eb="4">
      <t>キン</t>
    </rPh>
    <rPh sb="4" eb="6">
      <t>チョウタツ</t>
    </rPh>
    <phoneticPr fontId="3"/>
  </si>
  <si>
    <t>⑲借入金返済</t>
    <rPh sb="1" eb="3">
      <t>カリイレ</t>
    </rPh>
    <rPh sb="3" eb="4">
      <t>キン</t>
    </rPh>
    <rPh sb="4" eb="6">
      <t>ヘンサイ</t>
    </rPh>
    <phoneticPr fontId="3"/>
  </si>
  <si>
    <t>　　</t>
    <phoneticPr fontId="3"/>
  </si>
  <si>
    <r>
      <rPr>
        <sz val="24"/>
        <color theme="1"/>
        <rFont val="ＭＳ ゴシック"/>
        <family val="3"/>
        <charset val="128"/>
      </rPr>
      <t>【お問い合わせ】　栃木県信用保証協会○○部○○課　担当○○　℡028-635-○○○○</t>
    </r>
    <r>
      <rPr>
        <sz val="11"/>
        <color theme="1"/>
        <rFont val="游ゴシック"/>
        <family val="2"/>
        <charset val="128"/>
        <scheme val="minor"/>
      </rPr>
      <t xml:space="preserve">
</t>
    </r>
    <phoneticPr fontId="3"/>
  </si>
  <si>
    <t>①月初資金残高</t>
    <rPh sb="1" eb="3">
      <t>ゲッショ</t>
    </rPh>
    <rPh sb="3" eb="5">
      <t>シキン</t>
    </rPh>
    <rPh sb="5" eb="7">
      <t>ザンダカ</t>
    </rPh>
    <rPh sb="6" eb="7">
      <t>ダカ</t>
    </rPh>
    <phoneticPr fontId="3"/>
  </si>
  <si>
    <t>③受取手形取立</t>
    <rPh sb="1" eb="2">
      <t>ウ</t>
    </rPh>
    <rPh sb="2" eb="3">
      <t>ト</t>
    </rPh>
    <rPh sb="3" eb="5">
      <t>テガタ</t>
    </rPh>
    <rPh sb="5" eb="7">
      <t>トリタテ</t>
    </rPh>
    <phoneticPr fontId="3"/>
  </si>
  <si>
    <t>④売掛金回収</t>
    <rPh sb="1" eb="3">
      <t>ウリカケ</t>
    </rPh>
    <rPh sb="3" eb="4">
      <t>キン</t>
    </rPh>
    <rPh sb="4" eb="6">
      <t>カイシュウ</t>
    </rPh>
    <phoneticPr fontId="3"/>
  </si>
  <si>
    <t>⑧支払手形決済</t>
    <rPh sb="1" eb="3">
      <t>シハライ</t>
    </rPh>
    <rPh sb="3" eb="5">
      <t>テガタ</t>
    </rPh>
    <rPh sb="5" eb="7">
      <t>ケッサイ</t>
    </rPh>
    <phoneticPr fontId="3"/>
  </si>
  <si>
    <t>⑨買掛金支払</t>
    <rPh sb="1" eb="4">
      <t>カイカケキン</t>
    </rPh>
    <rPh sb="4" eb="6">
      <t>シハライ</t>
    </rPh>
    <phoneticPr fontId="3"/>
  </si>
  <si>
    <t>⑪支払利息</t>
    <rPh sb="1" eb="3">
      <t>シハライ</t>
    </rPh>
    <rPh sb="3" eb="5">
      <t>リソク</t>
    </rPh>
    <phoneticPr fontId="3"/>
  </si>
  <si>
    <t>⑫税金支払</t>
    <rPh sb="1" eb="3">
      <t>ゼイキン</t>
    </rPh>
    <rPh sb="3" eb="5">
      <t>シハラ</t>
    </rPh>
    <phoneticPr fontId="3"/>
  </si>
  <si>
    <t>⑬その他支出</t>
    <rPh sb="3" eb="4">
      <t>タ</t>
    </rPh>
    <rPh sb="4" eb="6">
      <t>シシュツ</t>
    </rPh>
    <phoneticPr fontId="3"/>
  </si>
  <si>
    <t>⑭経常支出
（⑦～⑬合算）</t>
    <rPh sb="1" eb="3">
      <t>ケイジョウ</t>
    </rPh>
    <rPh sb="3" eb="5">
      <t>シシュツ</t>
    </rPh>
    <rPh sb="10" eb="12">
      <t>ガッサン</t>
    </rPh>
    <phoneticPr fontId="3"/>
  </si>
  <si>
    <t>⑮経常収支
（⑥－⑮）</t>
    <rPh sb="1" eb="3">
      <t>ケイジョウ</t>
    </rPh>
    <rPh sb="3" eb="5">
      <t>シュウシ</t>
    </rPh>
    <phoneticPr fontId="3"/>
  </si>
  <si>
    <t>⑯経常収支比率
（⑥/⑭）</t>
    <rPh sb="1" eb="3">
      <t>ケイジョウ</t>
    </rPh>
    <rPh sb="3" eb="5">
      <t>シュウシ</t>
    </rPh>
    <rPh sb="5" eb="7">
      <t>ヒリツ</t>
    </rPh>
    <phoneticPr fontId="3"/>
  </si>
  <si>
    <t>⑱手形割引</t>
    <rPh sb="1" eb="3">
      <t>テガタ</t>
    </rPh>
    <rPh sb="3" eb="5">
      <t>ワリビキ</t>
    </rPh>
    <phoneticPr fontId="3"/>
  </si>
  <si>
    <t>⑳財務収支
（⑰＋⑱－⑲）</t>
    <rPh sb="1" eb="3">
      <t>ザイム</t>
    </rPh>
    <rPh sb="3" eb="5">
      <t>シュウシ</t>
    </rPh>
    <phoneticPr fontId="3"/>
  </si>
  <si>
    <t>㉑収支合計
（⑮＋⑳）</t>
    <rPh sb="3" eb="5">
      <t>ゴウケイ</t>
    </rPh>
    <phoneticPr fontId="3"/>
  </si>
  <si>
    <t>㉔月末資金残高
（①＋㉑）</t>
    <rPh sb="1" eb="3">
      <t>ゲツマツ</t>
    </rPh>
    <rPh sb="3" eb="5">
      <t>シキン</t>
    </rPh>
    <rPh sb="5" eb="7">
      <t>ザンダカ</t>
    </rPh>
    <phoneticPr fontId="3"/>
  </si>
  <si>
    <t>コロナの影響</t>
    <rPh sb="4" eb="6">
      <t>エイキョウ</t>
    </rPh>
    <phoneticPr fontId="3"/>
  </si>
  <si>
    <t>今後の展望</t>
    <rPh sb="0" eb="2">
      <t>コンゴ</t>
    </rPh>
    <rPh sb="3" eb="5">
      <t>テンボウ</t>
    </rPh>
    <phoneticPr fontId="3"/>
  </si>
  <si>
    <t>千円</t>
    <rPh sb="0" eb="2">
      <t>センエン</t>
    </rPh>
    <phoneticPr fontId="3"/>
  </si>
  <si>
    <t>売上</t>
    <rPh sb="0" eb="2">
      <t>ウリアゲ</t>
    </rPh>
    <phoneticPr fontId="3"/>
  </si>
  <si>
    <t>単位：千円</t>
    <rPh sb="0" eb="2">
      <t>タンイ</t>
    </rPh>
    <rPh sb="3" eb="5">
      <t>センエン</t>
    </rPh>
    <phoneticPr fontId="3"/>
  </si>
  <si>
    <t>外注費</t>
    <rPh sb="0" eb="3">
      <t>ガイチュウヒ</t>
    </rPh>
    <phoneticPr fontId="3"/>
  </si>
  <si>
    <t>販管費</t>
    <rPh sb="0" eb="3">
      <t>ハンカンヒ</t>
    </rPh>
    <phoneticPr fontId="3"/>
  </si>
  <si>
    <t>労務費</t>
    <rPh sb="0" eb="3">
      <t>ロウムヒ</t>
    </rPh>
    <phoneticPr fontId="3"/>
  </si>
  <si>
    <t>支払利息</t>
    <rPh sb="0" eb="2">
      <t>シハライ</t>
    </rPh>
    <rPh sb="2" eb="4">
      <t>リソク</t>
    </rPh>
    <phoneticPr fontId="3"/>
  </si>
  <si>
    <t>今後6ヶ月の売上・仕入の予定金額を教えて下さい。</t>
    <rPh sb="0" eb="2">
      <t>コンゴ</t>
    </rPh>
    <rPh sb="4" eb="5">
      <t>ゲツ</t>
    </rPh>
    <rPh sb="6" eb="8">
      <t>ウリアゲ</t>
    </rPh>
    <rPh sb="9" eb="11">
      <t>シイレ</t>
    </rPh>
    <rPh sb="12" eb="14">
      <t>ヨテイ</t>
    </rPh>
    <rPh sb="14" eb="16">
      <t>キンガク</t>
    </rPh>
    <rPh sb="17" eb="18">
      <t>オシ</t>
    </rPh>
    <rPh sb="20" eb="21">
      <t>クダ</t>
    </rPh>
    <phoneticPr fontId="3"/>
  </si>
  <si>
    <t>来月の売上・仕入の予定金額は？</t>
    <rPh sb="0" eb="2">
      <t>ライゲツ</t>
    </rPh>
    <rPh sb="3" eb="5">
      <t>ウリアゲ</t>
    </rPh>
    <rPh sb="6" eb="8">
      <t>シイレ</t>
    </rPh>
    <rPh sb="9" eb="11">
      <t>ヨテイ</t>
    </rPh>
    <rPh sb="11" eb="13">
      <t>キンガク</t>
    </rPh>
    <phoneticPr fontId="3"/>
  </si>
  <si>
    <t>仕入</t>
    <rPh sb="0" eb="2">
      <t>シイレ</t>
    </rPh>
    <phoneticPr fontId="3"/>
  </si>
  <si>
    <t>2ヶ月目は？</t>
    <rPh sb="2" eb="4">
      <t>ゲツメ</t>
    </rPh>
    <phoneticPr fontId="3"/>
  </si>
  <si>
    <t>3ヶ月目は？</t>
    <rPh sb="2" eb="4">
      <t>ゲツメ</t>
    </rPh>
    <phoneticPr fontId="3"/>
  </si>
  <si>
    <t>4ヶ月目は？</t>
    <rPh sb="2" eb="4">
      <t>ゲツメ</t>
    </rPh>
    <phoneticPr fontId="3"/>
  </si>
  <si>
    <t>5ヶ月目は？</t>
    <rPh sb="2" eb="4">
      <t>ゲツメ</t>
    </rPh>
    <phoneticPr fontId="3"/>
  </si>
  <si>
    <t>6ヶ月目は？</t>
    <rPh sb="2" eb="4">
      <t>ゲツメ</t>
    </rPh>
    <phoneticPr fontId="3"/>
  </si>
  <si>
    <t>来月支払予定の経費について、教えて下さい。</t>
    <rPh sb="0" eb="2">
      <t>ライゲツ</t>
    </rPh>
    <rPh sb="2" eb="4">
      <t>シハライ</t>
    </rPh>
    <rPh sb="4" eb="6">
      <t>ヨテイ</t>
    </rPh>
    <rPh sb="7" eb="9">
      <t>ケイヒ</t>
    </rPh>
    <rPh sb="14" eb="15">
      <t>オシ</t>
    </rPh>
    <rPh sb="17" eb="18">
      <t>クダ</t>
    </rPh>
    <phoneticPr fontId="3"/>
  </si>
  <si>
    <t>来月の人件費の金額は？</t>
    <rPh sb="0" eb="2">
      <t>ライゲツ</t>
    </rPh>
    <rPh sb="3" eb="6">
      <t>ジンケンヒ</t>
    </rPh>
    <rPh sb="7" eb="9">
      <t>キンガク</t>
    </rPh>
    <phoneticPr fontId="3"/>
  </si>
  <si>
    <t>来月の営業経費の金額は？（水道光熱費・旅費交通費・接待交際費・通信費・賃借料等）</t>
    <rPh sb="0" eb="2">
      <t>ライゲツ</t>
    </rPh>
    <rPh sb="3" eb="5">
      <t>エイギョウ</t>
    </rPh>
    <rPh sb="5" eb="7">
      <t>ケイヒ</t>
    </rPh>
    <rPh sb="8" eb="10">
      <t>キンガク</t>
    </rPh>
    <rPh sb="13" eb="15">
      <t>スイドウ</t>
    </rPh>
    <rPh sb="15" eb="18">
      <t>コウネツヒ</t>
    </rPh>
    <rPh sb="19" eb="21">
      <t>リョヒ</t>
    </rPh>
    <rPh sb="21" eb="24">
      <t>コウツウヒ</t>
    </rPh>
    <rPh sb="25" eb="27">
      <t>セッタイ</t>
    </rPh>
    <rPh sb="27" eb="30">
      <t>コウサイヒ</t>
    </rPh>
    <rPh sb="31" eb="34">
      <t>ツウシンヒ</t>
    </rPh>
    <rPh sb="35" eb="38">
      <t>チンシャクリョウ</t>
    </rPh>
    <rPh sb="38" eb="39">
      <t>トウ</t>
    </rPh>
    <phoneticPr fontId="3"/>
  </si>
  <si>
    <t>来月の支払利息の金額は？</t>
    <rPh sb="0" eb="2">
      <t>ライゲツ</t>
    </rPh>
    <rPh sb="3" eb="5">
      <t>シハライ</t>
    </rPh>
    <rPh sb="5" eb="7">
      <t>リソク</t>
    </rPh>
    <rPh sb="8" eb="10">
      <t>キンガク</t>
    </rPh>
    <phoneticPr fontId="3"/>
  </si>
  <si>
    <t>来月の借入金返済額は？</t>
    <phoneticPr fontId="3"/>
  </si>
  <si>
    <t>来月の税金・社会保険料の金額は？（6ヶ月以内に支払う消費税等も加味し、平準化した金額を入力すること）</t>
    <phoneticPr fontId="3"/>
  </si>
  <si>
    <t>現預金について、教えて下さい。</t>
    <rPh sb="0" eb="3">
      <t>ゲンヨキン</t>
    </rPh>
    <rPh sb="8" eb="9">
      <t>オシ</t>
    </rPh>
    <rPh sb="11" eb="12">
      <t>クダ</t>
    </rPh>
    <phoneticPr fontId="3"/>
  </si>
  <si>
    <t>今月末の預金残高見込みは？</t>
    <rPh sb="0" eb="3">
      <t>コンゲツマツ</t>
    </rPh>
    <rPh sb="4" eb="6">
      <t>ヨキン</t>
    </rPh>
    <rPh sb="6" eb="8">
      <t>ザンダカ</t>
    </rPh>
    <rPh sb="8" eb="10">
      <t>ミコ</t>
    </rPh>
    <phoneticPr fontId="3"/>
  </si>
  <si>
    <t>売上の回収方法と入金までの期間を教えて下さい。複数者取引がある場合は、原則平均。算出困難な場合はメイン取引先の条件を入力。</t>
    <rPh sb="0" eb="2">
      <t>ウリアゲ</t>
    </rPh>
    <rPh sb="3" eb="5">
      <t>カイシュウ</t>
    </rPh>
    <rPh sb="5" eb="7">
      <t>ホウホウ</t>
    </rPh>
    <rPh sb="8" eb="10">
      <t>ニュウキン</t>
    </rPh>
    <rPh sb="13" eb="15">
      <t>キカン</t>
    </rPh>
    <rPh sb="16" eb="17">
      <t>オシ</t>
    </rPh>
    <rPh sb="19" eb="20">
      <t>クダ</t>
    </rPh>
    <phoneticPr fontId="3"/>
  </si>
  <si>
    <t>ヶ月後</t>
    <rPh sb="1" eb="3">
      <t>ゲツゴ</t>
    </rPh>
    <phoneticPr fontId="3"/>
  </si>
  <si>
    <t>（小数点以下は切り上げ）</t>
    <rPh sb="1" eb="4">
      <t>ショウスウテン</t>
    </rPh>
    <rPh sb="4" eb="6">
      <t>イカ</t>
    </rPh>
    <rPh sb="7" eb="8">
      <t>キ</t>
    </rPh>
    <rPh sb="9" eb="10">
      <t>ア</t>
    </rPh>
    <phoneticPr fontId="3"/>
  </si>
  <si>
    <t>仕入の支払方法と入金までの期間を教えて下さい。複数者取引がある場合は、原則平均。算出困難な場合はメイン取引先の条件を入力。</t>
    <rPh sb="0" eb="2">
      <t>シイレ</t>
    </rPh>
    <rPh sb="3" eb="5">
      <t>シハライ</t>
    </rPh>
    <rPh sb="5" eb="7">
      <t>ホウホウ</t>
    </rPh>
    <rPh sb="8" eb="10">
      <t>ニュウキン</t>
    </rPh>
    <rPh sb="13" eb="15">
      <t>キカン</t>
    </rPh>
    <rPh sb="16" eb="17">
      <t>オシ</t>
    </rPh>
    <rPh sb="19" eb="20">
      <t>クダ</t>
    </rPh>
    <phoneticPr fontId="3"/>
  </si>
  <si>
    <t>達成率見込</t>
    <rPh sb="0" eb="3">
      <t>タッセイリツ</t>
    </rPh>
    <rPh sb="3" eb="5">
      <t>ミコ</t>
    </rPh>
    <phoneticPr fontId="3"/>
  </si>
  <si>
    <t>資金予定表</t>
    <rPh sb="0" eb="2">
      <t>シキン</t>
    </rPh>
    <rPh sb="2" eb="5">
      <t>ヨテイヒョウ</t>
    </rPh>
    <rPh sb="4" eb="5">
      <t>ヒョウ</t>
    </rPh>
    <phoneticPr fontId="3"/>
  </si>
  <si>
    <t>達成率を加味した資金予定表</t>
    <rPh sb="0" eb="3">
      <t>タッセイリツ</t>
    </rPh>
    <rPh sb="4" eb="6">
      <t>カミ</t>
    </rPh>
    <rPh sb="8" eb="10">
      <t>シキン</t>
    </rPh>
    <rPh sb="10" eb="12">
      <t>ヨテイ</t>
    </rPh>
    <rPh sb="12" eb="13">
      <t>ヒョウ</t>
    </rPh>
    <phoneticPr fontId="3"/>
  </si>
  <si>
    <t>月初現金残高</t>
    <rPh sb="0" eb="2">
      <t>ゲッショ</t>
    </rPh>
    <rPh sb="2" eb="4">
      <t>ゲンキン</t>
    </rPh>
    <rPh sb="4" eb="6">
      <t>ザンダカ</t>
    </rPh>
    <phoneticPr fontId="3"/>
  </si>
  <si>
    <t>入金</t>
    <rPh sb="0" eb="2">
      <t>ニュウキン</t>
    </rPh>
    <phoneticPr fontId="3"/>
  </si>
  <si>
    <t>仕入支払</t>
    <rPh sb="0" eb="2">
      <t>シイレ</t>
    </rPh>
    <rPh sb="2" eb="4">
      <t>シハライ</t>
    </rPh>
    <phoneticPr fontId="3"/>
  </si>
  <si>
    <t>人件費</t>
    <rPh sb="0" eb="3">
      <t>ジンケンヒ</t>
    </rPh>
    <phoneticPr fontId="3"/>
  </si>
  <si>
    <t>営業経費</t>
    <rPh sb="0" eb="2">
      <t>エイギョウ</t>
    </rPh>
    <rPh sb="2" eb="4">
      <t>ケイヒ</t>
    </rPh>
    <phoneticPr fontId="3"/>
  </si>
  <si>
    <t>借入金返済</t>
    <phoneticPr fontId="3"/>
  </si>
  <si>
    <t>税金・社会保険料</t>
    <phoneticPr fontId="3"/>
  </si>
  <si>
    <t>その他支払経費</t>
    <phoneticPr fontId="3"/>
  </si>
  <si>
    <t>支出合計</t>
    <rPh sb="0" eb="2">
      <t>シシュツ</t>
    </rPh>
    <rPh sb="2" eb="4">
      <t>ゴウケイ</t>
    </rPh>
    <phoneticPr fontId="3"/>
  </si>
  <si>
    <t>当月収支</t>
    <rPh sb="0" eb="2">
      <t>トウゲツ</t>
    </rPh>
    <rPh sb="2" eb="4">
      <t>シュウシ</t>
    </rPh>
    <phoneticPr fontId="3"/>
  </si>
  <si>
    <t>月末現金残高</t>
    <rPh sb="0" eb="2">
      <t>ゲツマツ</t>
    </rPh>
    <rPh sb="2" eb="4">
      <t>ゲンキン</t>
    </rPh>
    <rPh sb="4" eb="6">
      <t>ザンダカ</t>
    </rPh>
    <phoneticPr fontId="3"/>
  </si>
  <si>
    <t>現金</t>
    <rPh sb="0" eb="2">
      <t>ゲンキン</t>
    </rPh>
    <phoneticPr fontId="3"/>
  </si>
  <si>
    <t>売掛金回収</t>
    <rPh sb="0" eb="3">
      <t>ウリカケキン</t>
    </rPh>
    <rPh sb="3" eb="5">
      <t>カイシュウ</t>
    </rPh>
    <phoneticPr fontId="3"/>
  </si>
  <si>
    <t>ヶ月</t>
    <rPh sb="1" eb="2">
      <t>ゲツ</t>
    </rPh>
    <phoneticPr fontId="3"/>
  </si>
  <si>
    <t>買掛金支払</t>
    <rPh sb="0" eb="1">
      <t>カ</t>
    </rPh>
    <rPh sb="1" eb="2">
      <t>カ</t>
    </rPh>
    <rPh sb="2" eb="3">
      <t>キン</t>
    </rPh>
    <rPh sb="3" eb="5">
      <t>シハライ</t>
    </rPh>
    <phoneticPr fontId="3"/>
  </si>
  <si>
    <t>手形回収</t>
    <rPh sb="0" eb="2">
      <t>テガタ</t>
    </rPh>
    <rPh sb="2" eb="4">
      <t>カイシュウ</t>
    </rPh>
    <phoneticPr fontId="3"/>
  </si>
  <si>
    <t>手形支払</t>
    <rPh sb="0" eb="2">
      <t>テガタ</t>
    </rPh>
    <rPh sb="2" eb="4">
      <t>シハライ</t>
    </rPh>
    <phoneticPr fontId="3"/>
  </si>
  <si>
    <t>今後6ヶ月の売上・仕入・外注費・労務費の予定金額を教えて下さい。</t>
    <rPh sb="0" eb="2">
      <t>コンゴ</t>
    </rPh>
    <rPh sb="4" eb="5">
      <t>ゲツ</t>
    </rPh>
    <rPh sb="6" eb="8">
      <t>ウリアゲ</t>
    </rPh>
    <rPh sb="9" eb="11">
      <t>シイレ</t>
    </rPh>
    <rPh sb="12" eb="15">
      <t>ガイチュウヒ</t>
    </rPh>
    <rPh sb="16" eb="19">
      <t>ロウムヒ</t>
    </rPh>
    <rPh sb="20" eb="22">
      <t>ヨテイ</t>
    </rPh>
    <rPh sb="22" eb="24">
      <t>キンガク</t>
    </rPh>
    <rPh sb="25" eb="26">
      <t>オシ</t>
    </rPh>
    <rPh sb="28" eb="29">
      <t>クダ</t>
    </rPh>
    <phoneticPr fontId="3"/>
  </si>
  <si>
    <t>来月の売上・仕入・外注費・労務費の予定金額は？</t>
    <rPh sb="0" eb="2">
      <t>ライゲツ</t>
    </rPh>
    <rPh sb="3" eb="5">
      <t>ウリアゲ</t>
    </rPh>
    <rPh sb="6" eb="8">
      <t>シイレ</t>
    </rPh>
    <rPh sb="9" eb="11">
      <t>ガイチュウ</t>
    </rPh>
    <rPh sb="11" eb="12">
      <t>ヒ</t>
    </rPh>
    <rPh sb="13" eb="16">
      <t>ロウムヒ</t>
    </rPh>
    <rPh sb="17" eb="19">
      <t>ヨテイ</t>
    </rPh>
    <rPh sb="19" eb="21">
      <t>キンガク</t>
    </rPh>
    <phoneticPr fontId="3"/>
  </si>
  <si>
    <t>来月のその他製造原価や支払経費の金額は？（リース料等、設備投資額含む）</t>
    <phoneticPr fontId="3"/>
  </si>
  <si>
    <t>借入金調達</t>
    <rPh sb="3" eb="5">
      <t>チョウタツ</t>
    </rPh>
    <phoneticPr fontId="3"/>
  </si>
  <si>
    <t>資金予定表</t>
    <rPh sb="0" eb="2">
      <t>シキン</t>
    </rPh>
    <rPh sb="2" eb="4">
      <t>ヨテイ</t>
    </rPh>
    <rPh sb="4" eb="5">
      <t>ヒョウ</t>
    </rPh>
    <phoneticPr fontId="3"/>
  </si>
  <si>
    <t>注意事項</t>
    <rPh sb="0" eb="2">
      <t>チュウイ</t>
    </rPh>
    <rPh sb="2" eb="4">
      <t>ジコウ</t>
    </rPh>
    <phoneticPr fontId="3"/>
  </si>
  <si>
    <t>資金繰り予定表以前の売上及び仕入は関数の先頭もしくは末尾に実数を入力。</t>
    <rPh sb="0" eb="2">
      <t>シキン</t>
    </rPh>
    <rPh sb="2" eb="3">
      <t>グ</t>
    </rPh>
    <rPh sb="4" eb="7">
      <t>ヨテイヒョウ</t>
    </rPh>
    <rPh sb="7" eb="9">
      <t>イゼン</t>
    </rPh>
    <rPh sb="10" eb="12">
      <t>ウリアゲ</t>
    </rPh>
    <rPh sb="12" eb="13">
      <t>オヨ</t>
    </rPh>
    <rPh sb="14" eb="16">
      <t>シイレ</t>
    </rPh>
    <rPh sb="17" eb="19">
      <t>カンスウ</t>
    </rPh>
    <rPh sb="20" eb="22">
      <t>セントウ</t>
    </rPh>
    <rPh sb="26" eb="28">
      <t>マツビ</t>
    </rPh>
    <rPh sb="29" eb="31">
      <t>ジッスウ</t>
    </rPh>
    <rPh sb="32" eb="34">
      <t>ニュウリョク</t>
    </rPh>
    <phoneticPr fontId="3"/>
  </si>
  <si>
    <t>数値は経営者へのヒアリング等で確認してください。</t>
    <rPh sb="0" eb="2">
      <t>スウチ</t>
    </rPh>
    <rPh sb="3" eb="6">
      <t>ケイエイシャ</t>
    </rPh>
    <rPh sb="13" eb="14">
      <t>ナド</t>
    </rPh>
    <rPh sb="15" eb="17">
      <t>カクニン</t>
    </rPh>
    <phoneticPr fontId="3"/>
  </si>
  <si>
    <t>現金での仕入は月次仕入のおおよそ何％ですか？</t>
    <rPh sb="0" eb="2">
      <t>ゲンキン</t>
    </rPh>
    <rPh sb="4" eb="6">
      <t>シイレ</t>
    </rPh>
    <rPh sb="7" eb="9">
      <t>ゲツジ</t>
    </rPh>
    <rPh sb="9" eb="11">
      <t>シイ</t>
    </rPh>
    <rPh sb="16" eb="17">
      <t>ナン</t>
    </rPh>
    <phoneticPr fontId="3"/>
  </si>
  <si>
    <t>仕入の支払方法と入金までの期間を教えて下さい。複数者取引がある場合は、原則平均。算出困難な場合は主要先の条件を教えてください。</t>
    <rPh sb="0" eb="2">
      <t>シイレ</t>
    </rPh>
    <rPh sb="3" eb="5">
      <t>シハライ</t>
    </rPh>
    <rPh sb="5" eb="7">
      <t>ホウホウ</t>
    </rPh>
    <rPh sb="8" eb="10">
      <t>ニュウキン</t>
    </rPh>
    <rPh sb="13" eb="15">
      <t>キカン</t>
    </rPh>
    <rPh sb="16" eb="17">
      <t>オシ</t>
    </rPh>
    <rPh sb="19" eb="20">
      <t>クダ</t>
    </rPh>
    <rPh sb="48" eb="50">
      <t>シュヨウ</t>
    </rPh>
    <rPh sb="55" eb="56">
      <t>オシ</t>
    </rPh>
    <phoneticPr fontId="3"/>
  </si>
  <si>
    <t>売上の回収方法と入金までの期間を教えて下さい。複数取引がある場合は原則平均ですが、算出困難な場合は主要先の条件を教えてください。</t>
    <rPh sb="0" eb="2">
      <t>ウリアゲ</t>
    </rPh>
    <rPh sb="3" eb="5">
      <t>カイシュウ</t>
    </rPh>
    <rPh sb="5" eb="7">
      <t>ホウホウ</t>
    </rPh>
    <rPh sb="8" eb="10">
      <t>ニュウキン</t>
    </rPh>
    <rPh sb="13" eb="15">
      <t>キカン</t>
    </rPh>
    <rPh sb="16" eb="17">
      <t>オシ</t>
    </rPh>
    <rPh sb="19" eb="20">
      <t>クダ</t>
    </rPh>
    <rPh sb="33" eb="35">
      <t>ゲンソク</t>
    </rPh>
    <rPh sb="49" eb="51">
      <t>シュヨウ</t>
    </rPh>
    <rPh sb="51" eb="52">
      <t>サキ</t>
    </rPh>
    <rPh sb="53" eb="55">
      <t>ジョウケン</t>
    </rPh>
    <rPh sb="56" eb="57">
      <t>オシ</t>
    </rPh>
    <phoneticPr fontId="3"/>
  </si>
  <si>
    <t>来月の税金・社会保険料の金額は？（6ヶ月以内に支払う消費税等も加味し、平準化した金額を入力）</t>
    <phoneticPr fontId="3"/>
  </si>
  <si>
    <t>現金での売上は月次売上のおおよそ何％ですか？</t>
    <rPh sb="0" eb="2">
      <t>ゲンキン</t>
    </rPh>
    <rPh sb="4" eb="6">
      <t>ウリアゲ</t>
    </rPh>
    <rPh sb="7" eb="8">
      <t>ツキ</t>
    </rPh>
    <rPh sb="8" eb="9">
      <t>ジ</t>
    </rPh>
    <rPh sb="9" eb="11">
      <t>ウリアゲ</t>
    </rPh>
    <rPh sb="16" eb="17">
      <t>ナン</t>
    </rPh>
    <phoneticPr fontId="3"/>
  </si>
  <si>
    <t>売掛金での売上は月次売上のおおよそ何％ですか？　　販売やサービスの提供から何ヶ月後の入金が多いですか？</t>
    <rPh sb="0" eb="2">
      <t>ウリカケ</t>
    </rPh>
    <rPh sb="2" eb="3">
      <t>キン</t>
    </rPh>
    <rPh sb="5" eb="7">
      <t>ウリアゲ</t>
    </rPh>
    <rPh sb="8" eb="10">
      <t>ゲツジ</t>
    </rPh>
    <rPh sb="10" eb="12">
      <t>ウリアゲ</t>
    </rPh>
    <rPh sb="25" eb="27">
      <t>ハンバイ</t>
    </rPh>
    <rPh sb="33" eb="35">
      <t>テイキョウ</t>
    </rPh>
    <rPh sb="37" eb="41">
      <t>ナンカゲツゴ</t>
    </rPh>
    <rPh sb="42" eb="44">
      <t>ニュウキン</t>
    </rPh>
    <rPh sb="45" eb="46">
      <t>オオ</t>
    </rPh>
    <phoneticPr fontId="3"/>
  </si>
  <si>
    <t>受取手形での売上は月次売上のおおよそ何％ですか？　販売やサービスの提供から何ヶ月後の入金が多いですか？</t>
    <rPh sb="0" eb="1">
      <t>ウ</t>
    </rPh>
    <rPh sb="1" eb="2">
      <t>ト</t>
    </rPh>
    <rPh sb="2" eb="4">
      <t>テガタ</t>
    </rPh>
    <rPh sb="6" eb="8">
      <t>ウリアゲ</t>
    </rPh>
    <rPh sb="9" eb="11">
      <t>ゲツジ</t>
    </rPh>
    <rPh sb="11" eb="13">
      <t>ウリアゲ</t>
    </rPh>
    <rPh sb="25" eb="27">
      <t>ハンバイ</t>
    </rPh>
    <rPh sb="33" eb="35">
      <t>テイキョウ</t>
    </rPh>
    <rPh sb="37" eb="41">
      <t>ナンカゲツゴ</t>
    </rPh>
    <rPh sb="42" eb="44">
      <t>ニュウキン</t>
    </rPh>
    <rPh sb="45" eb="46">
      <t>オオ</t>
    </rPh>
    <phoneticPr fontId="3"/>
  </si>
  <si>
    <t>買掛金での仕入は月次仕入のおおよそ何％ですか？　　仕入から買掛金の支払までは何ヶ月後が多いですか？</t>
    <rPh sb="0" eb="3">
      <t>カイカケキン</t>
    </rPh>
    <rPh sb="5" eb="7">
      <t>シイレ</t>
    </rPh>
    <rPh sb="8" eb="10">
      <t>ゲツジ</t>
    </rPh>
    <rPh sb="10" eb="12">
      <t>シイ</t>
    </rPh>
    <rPh sb="25" eb="27">
      <t>シイ</t>
    </rPh>
    <rPh sb="29" eb="32">
      <t>カイカケキン</t>
    </rPh>
    <rPh sb="33" eb="35">
      <t>シハラ</t>
    </rPh>
    <rPh sb="38" eb="42">
      <t>ナンカゲツゴ</t>
    </rPh>
    <rPh sb="43" eb="44">
      <t>オオ</t>
    </rPh>
    <phoneticPr fontId="3"/>
  </si>
  <si>
    <t>支払手形での仕入は月次仕入のおおよそ何％ですか？　仕入から支払手形の期日までは何ヶ月後が多いですか？</t>
    <rPh sb="0" eb="2">
      <t>シハライ</t>
    </rPh>
    <rPh sb="2" eb="4">
      <t>テガタ</t>
    </rPh>
    <rPh sb="6" eb="8">
      <t>シイレ</t>
    </rPh>
    <rPh sb="9" eb="11">
      <t>ゲツジ</t>
    </rPh>
    <rPh sb="11" eb="13">
      <t>シイ</t>
    </rPh>
    <rPh sb="25" eb="27">
      <t>シイ</t>
    </rPh>
    <rPh sb="29" eb="31">
      <t>シハライ</t>
    </rPh>
    <rPh sb="31" eb="33">
      <t>テガタ</t>
    </rPh>
    <rPh sb="34" eb="36">
      <t>キジツ</t>
    </rPh>
    <rPh sb="39" eb="43">
      <t>ナンカゲツゴ</t>
    </rPh>
    <rPh sb="44" eb="45">
      <t>オオ</t>
    </rPh>
    <phoneticPr fontId="3"/>
  </si>
  <si>
    <t>日付</t>
    <rPh sb="0" eb="2">
      <t>ヒヅケ</t>
    </rPh>
    <phoneticPr fontId="3"/>
  </si>
  <si>
    <t>3か月後は？</t>
    <rPh sb="2" eb="4">
      <t>ゲツゴ</t>
    </rPh>
    <phoneticPr fontId="3"/>
  </si>
  <si>
    <t>4か月後は？</t>
    <rPh sb="2" eb="4">
      <t>ゲツゴ</t>
    </rPh>
    <phoneticPr fontId="3"/>
  </si>
  <si>
    <t>5か月後は？</t>
    <rPh sb="2" eb="4">
      <t>ゲツゴ</t>
    </rPh>
    <phoneticPr fontId="3"/>
  </si>
  <si>
    <t>4ヵ月後は？</t>
    <rPh sb="2" eb="3">
      <t>ゲツ</t>
    </rPh>
    <rPh sb="3" eb="4">
      <t>ゴ</t>
    </rPh>
    <phoneticPr fontId="3"/>
  </si>
  <si>
    <t>2か月後払いは？</t>
    <rPh sb="2" eb="4">
      <t>ゲツゴ</t>
    </rPh>
    <rPh sb="4" eb="5">
      <t>ハラ</t>
    </rPh>
    <phoneticPr fontId="3"/>
  </si>
  <si>
    <t>2か月後は？</t>
    <rPh sb="2" eb="4">
      <t>ゲツゴ</t>
    </rPh>
    <phoneticPr fontId="3"/>
  </si>
  <si>
    <t>販売やサービスの提供から1か月後の入金はおおよそ何％？</t>
    <rPh sb="0" eb="2">
      <t>ハンバイ</t>
    </rPh>
    <rPh sb="8" eb="10">
      <t>テイキョウ</t>
    </rPh>
    <rPh sb="14" eb="16">
      <t>ゲツゴ</t>
    </rPh>
    <rPh sb="17" eb="19">
      <t>ニュウキン</t>
    </rPh>
    <rPh sb="24" eb="25">
      <t>ナン</t>
    </rPh>
    <phoneticPr fontId="3"/>
  </si>
  <si>
    <t>当月に仕入れて、その翌月での支払はおおよそ何％？</t>
    <rPh sb="0" eb="2">
      <t>トウゲツ</t>
    </rPh>
    <rPh sb="3" eb="5">
      <t>シイレ</t>
    </rPh>
    <rPh sb="10" eb="12">
      <t>ヨクゲツ</t>
    </rPh>
    <rPh sb="14" eb="16">
      <t>シハラ</t>
    </rPh>
    <rPh sb="21" eb="22">
      <t>ナン</t>
    </rPh>
    <phoneticPr fontId="3"/>
  </si>
  <si>
    <t>販売やサービスの提供を行い同月内での入金はおおよそ何％？</t>
    <rPh sb="0" eb="2">
      <t>ハンバイ</t>
    </rPh>
    <rPh sb="8" eb="10">
      <t>テイキョウ</t>
    </rPh>
    <rPh sb="11" eb="12">
      <t>オコナ</t>
    </rPh>
    <rPh sb="13" eb="15">
      <t>ドウゲツ</t>
    </rPh>
    <rPh sb="15" eb="16">
      <t>ナイ</t>
    </rPh>
    <rPh sb="18" eb="20">
      <t>ニュウキン</t>
    </rPh>
    <rPh sb="25" eb="27">
      <t>ナンパーセント</t>
    </rPh>
    <phoneticPr fontId="3"/>
  </si>
  <si>
    <t>当月に仕入れて、同月内での支払はおおよそ何％？</t>
    <rPh sb="0" eb="2">
      <t>トウゲツ</t>
    </rPh>
    <rPh sb="3" eb="5">
      <t>シイレ</t>
    </rPh>
    <rPh sb="8" eb="10">
      <t>ドウゲツ</t>
    </rPh>
    <rPh sb="10" eb="11">
      <t>ナイ</t>
    </rPh>
    <rPh sb="13" eb="15">
      <t>シハラ</t>
    </rPh>
    <rPh sb="20" eb="21">
      <t>ナン</t>
    </rPh>
    <phoneticPr fontId="3"/>
  </si>
  <si>
    <t>※前月以前取引分入金・支払</t>
    <rPh sb="1" eb="3">
      <t>ゼンゲツ</t>
    </rPh>
    <rPh sb="3" eb="5">
      <t>イゼン</t>
    </rPh>
    <rPh sb="5" eb="7">
      <t>トリヒキ</t>
    </rPh>
    <rPh sb="7" eb="8">
      <t>ブン</t>
    </rPh>
    <rPh sb="8" eb="10">
      <t>ニュウキン</t>
    </rPh>
    <rPh sb="11" eb="13">
      <t>シハラ</t>
    </rPh>
    <phoneticPr fontId="3"/>
  </si>
  <si>
    <t>手形支払</t>
    <rPh sb="0" eb="2">
      <t>テガタ</t>
    </rPh>
    <rPh sb="2" eb="4">
      <t>シハラ</t>
    </rPh>
    <phoneticPr fontId="3"/>
  </si>
  <si>
    <t>追加</t>
    <rPh sb="0" eb="2">
      <t>ツイカ</t>
    </rPh>
    <phoneticPr fontId="3"/>
  </si>
  <si>
    <t>来月のリース料、設備投資の金額は？</t>
    <rPh sb="13" eb="15">
      <t>キンガク</t>
    </rPh>
    <phoneticPr fontId="3"/>
  </si>
  <si>
    <t>経常収支</t>
    <rPh sb="0" eb="2">
      <t>ケイジョウ</t>
    </rPh>
    <rPh sb="2" eb="4">
      <t>シュウシ</t>
    </rPh>
    <phoneticPr fontId="3"/>
  </si>
  <si>
    <t>経常支出</t>
    <rPh sb="0" eb="2">
      <t>ケイジョウ</t>
    </rPh>
    <rPh sb="2" eb="4">
      <t>シシュツ</t>
    </rPh>
    <phoneticPr fontId="3"/>
  </si>
  <si>
    <t>直近2ヶ月の売上・仕入の金額を教えて下さい。</t>
    <rPh sb="0" eb="2">
      <t>チョッキン</t>
    </rPh>
    <rPh sb="4" eb="5">
      <t>ゲツ</t>
    </rPh>
    <rPh sb="6" eb="8">
      <t>ウリアゲ</t>
    </rPh>
    <rPh sb="9" eb="11">
      <t>シイレ</t>
    </rPh>
    <rPh sb="12" eb="14">
      <t>キンガク</t>
    </rPh>
    <rPh sb="15" eb="16">
      <t>オシ</t>
    </rPh>
    <rPh sb="18" eb="19">
      <t>クダ</t>
    </rPh>
    <phoneticPr fontId="3"/>
  </si>
  <si>
    <t>仕入支払</t>
    <rPh sb="0" eb="2">
      <t>シイ</t>
    </rPh>
    <rPh sb="2" eb="4">
      <t>シハラ</t>
    </rPh>
    <phoneticPr fontId="3"/>
  </si>
  <si>
    <t>2ヶ月前は？</t>
    <rPh sb="3" eb="4">
      <t>マエ</t>
    </rPh>
    <phoneticPr fontId="3"/>
  </si>
  <si>
    <t>1ヶ月前は？</t>
    <rPh sb="3" eb="4">
      <t>マエ</t>
    </rPh>
    <phoneticPr fontId="3"/>
  </si>
  <si>
    <t>2ヶ月前実績</t>
    <rPh sb="2" eb="3">
      <t>ゲツ</t>
    </rPh>
    <rPh sb="3" eb="4">
      <t>マエ</t>
    </rPh>
    <rPh sb="4" eb="6">
      <t>ジッセキ</t>
    </rPh>
    <phoneticPr fontId="3"/>
  </si>
  <si>
    <t>１ヶ月前実績</t>
    <rPh sb="2" eb="3">
      <t>ゲツ</t>
    </rPh>
    <rPh sb="3" eb="4">
      <t>マエ</t>
    </rPh>
    <rPh sb="4" eb="6">
      <t>ジッセキ</t>
    </rPh>
    <phoneticPr fontId="3"/>
  </si>
  <si>
    <t>1カ月後入金</t>
    <rPh sb="2" eb="4">
      <t>ゲツゴ</t>
    </rPh>
    <rPh sb="4" eb="6">
      <t>ニュウキン</t>
    </rPh>
    <phoneticPr fontId="3"/>
  </si>
  <si>
    <t>2カ月後入金</t>
    <rPh sb="2" eb="4">
      <t>ゲツゴ</t>
    </rPh>
    <rPh sb="4" eb="6">
      <t>ニュウキン</t>
    </rPh>
    <phoneticPr fontId="3"/>
  </si>
  <si>
    <t>3カ月後入金</t>
    <rPh sb="2" eb="4">
      <t>ゲツゴ</t>
    </rPh>
    <rPh sb="4" eb="6">
      <t>ニュウキン</t>
    </rPh>
    <phoneticPr fontId="3"/>
  </si>
  <si>
    <t>4カ月後入金</t>
    <rPh sb="2" eb="4">
      <t>ゲツゴ</t>
    </rPh>
    <rPh sb="4" eb="6">
      <t>ニュウキン</t>
    </rPh>
    <phoneticPr fontId="3"/>
  </si>
  <si>
    <t>5カ月後入金</t>
    <rPh sb="2" eb="4">
      <t>ゲツゴ</t>
    </rPh>
    <rPh sb="4" eb="6">
      <t>ニュウキン</t>
    </rPh>
    <phoneticPr fontId="3"/>
  </si>
  <si>
    <t>6カ月後入金</t>
    <rPh sb="2" eb="4">
      <t>ゲツゴ</t>
    </rPh>
    <rPh sb="4" eb="6">
      <t>ニュウキン</t>
    </rPh>
    <phoneticPr fontId="3"/>
  </si>
  <si>
    <t>1カ月後支払</t>
    <rPh sb="2" eb="4">
      <t>ゲツゴ</t>
    </rPh>
    <rPh sb="4" eb="6">
      <t>シハラ</t>
    </rPh>
    <phoneticPr fontId="3"/>
  </si>
  <si>
    <t>2カ月後支払</t>
    <rPh sb="2" eb="4">
      <t>ゲツゴ</t>
    </rPh>
    <rPh sb="4" eb="6">
      <t>シハラ</t>
    </rPh>
    <phoneticPr fontId="3"/>
  </si>
  <si>
    <t>3カ月後支払</t>
    <rPh sb="2" eb="4">
      <t>ゲツゴ</t>
    </rPh>
    <rPh sb="4" eb="6">
      <t>シハラ</t>
    </rPh>
    <phoneticPr fontId="3"/>
  </si>
  <si>
    <t>4カ月後支払</t>
    <rPh sb="2" eb="4">
      <t>ゲツゴ</t>
    </rPh>
    <rPh sb="4" eb="6">
      <t>シハラ</t>
    </rPh>
    <phoneticPr fontId="3"/>
  </si>
  <si>
    <t>5カ月後支払</t>
    <rPh sb="2" eb="4">
      <t>ゲツゴ</t>
    </rPh>
    <rPh sb="4" eb="6">
      <t>シハラ</t>
    </rPh>
    <phoneticPr fontId="3"/>
  </si>
  <si>
    <t>6カ月後支払</t>
    <rPh sb="2" eb="4">
      <t>ゲツゴ</t>
    </rPh>
    <rPh sb="4" eb="6">
      <t>シハラ</t>
    </rPh>
    <phoneticPr fontId="3"/>
  </si>
  <si>
    <t>R3/4</t>
    <phoneticPr fontId="3"/>
  </si>
  <si>
    <t>以前掛取引分</t>
    <rPh sb="0" eb="2">
      <t>イゼン</t>
    </rPh>
    <rPh sb="2" eb="3">
      <t>カ</t>
    </rPh>
    <rPh sb="3" eb="5">
      <t>トリヒキ</t>
    </rPh>
    <rPh sb="5" eb="6">
      <t>ブン</t>
    </rPh>
    <phoneticPr fontId="3"/>
  </si>
  <si>
    <t>割引手形</t>
    <rPh sb="0" eb="2">
      <t>ワリビキ</t>
    </rPh>
    <rPh sb="2" eb="4">
      <t>テガタ</t>
    </rPh>
    <phoneticPr fontId="3"/>
  </si>
  <si>
    <t>今後追加予定</t>
    <rPh sb="0" eb="2">
      <t>コンゴ</t>
    </rPh>
    <rPh sb="2" eb="4">
      <t>ツイカ</t>
    </rPh>
    <rPh sb="4" eb="6">
      <t>ヨテイ</t>
    </rPh>
    <phoneticPr fontId="3"/>
  </si>
  <si>
    <t>設備投資</t>
    <rPh sb="0" eb="2">
      <t>セツビ</t>
    </rPh>
    <rPh sb="2" eb="4">
      <t>トウシ</t>
    </rPh>
    <phoneticPr fontId="3"/>
  </si>
  <si>
    <t>来月の設備投資は？</t>
    <rPh sb="0" eb="2">
      <t>ライゲツ</t>
    </rPh>
    <rPh sb="3" eb="5">
      <t>セツビ</t>
    </rPh>
    <rPh sb="5" eb="7">
      <t>トウシ</t>
    </rPh>
    <phoneticPr fontId="3"/>
  </si>
  <si>
    <t>その他収入</t>
    <rPh sb="2" eb="3">
      <t>タ</t>
    </rPh>
    <rPh sb="3" eb="5">
      <t>シュウニュウ</t>
    </rPh>
    <phoneticPr fontId="3"/>
  </si>
  <si>
    <t>経常収入</t>
    <rPh sb="0" eb="2">
      <t>ケイジョウ</t>
    </rPh>
    <rPh sb="2" eb="4">
      <t>シュウニュウ</t>
    </rPh>
    <phoneticPr fontId="3"/>
  </si>
  <si>
    <t>リース・利息・その他</t>
    <rPh sb="4" eb="6">
      <t>リソク</t>
    </rPh>
    <rPh sb="9" eb="10">
      <t>タ</t>
    </rPh>
    <phoneticPr fontId="3"/>
  </si>
  <si>
    <t>財務収支他</t>
    <rPh sb="0" eb="2">
      <t>ザイム</t>
    </rPh>
    <rPh sb="2" eb="4">
      <t>シュウシ</t>
    </rPh>
    <rPh sb="4" eb="5">
      <t>ホカ</t>
    </rPh>
    <phoneticPr fontId="3"/>
  </si>
  <si>
    <t>仕入れから30日以内の支払はおおよそ何％？</t>
    <rPh sb="0" eb="2">
      <t>シイレ</t>
    </rPh>
    <rPh sb="7" eb="8">
      <t>ニチ</t>
    </rPh>
    <rPh sb="8" eb="10">
      <t>イナイ</t>
    </rPh>
    <rPh sb="11" eb="13">
      <t>シハラ</t>
    </rPh>
    <rPh sb="18" eb="19">
      <t>ナン</t>
    </rPh>
    <phoneticPr fontId="3"/>
  </si>
  <si>
    <t>仕入から31日～60日以内での支払はおおよそ何％？</t>
    <rPh sb="0" eb="2">
      <t>シイレ</t>
    </rPh>
    <rPh sb="6" eb="7">
      <t>ニチ</t>
    </rPh>
    <rPh sb="10" eb="11">
      <t>ニチ</t>
    </rPh>
    <rPh sb="11" eb="13">
      <t>イナイ</t>
    </rPh>
    <rPh sb="15" eb="17">
      <t>シハラ</t>
    </rPh>
    <rPh sb="22" eb="23">
      <t>ナン</t>
    </rPh>
    <phoneticPr fontId="3"/>
  </si>
  <si>
    <t>3か月後は？（91日～120日以内）</t>
    <rPh sb="2" eb="4">
      <t>ゲツゴ</t>
    </rPh>
    <rPh sb="9" eb="10">
      <t>ニチ</t>
    </rPh>
    <rPh sb="14" eb="15">
      <t>ニチ</t>
    </rPh>
    <rPh sb="15" eb="17">
      <t>イナイ</t>
    </rPh>
    <phoneticPr fontId="3"/>
  </si>
  <si>
    <t>2か月後は？（61日～90日以内）</t>
    <rPh sb="2" eb="4">
      <t>ゲツゴ</t>
    </rPh>
    <rPh sb="9" eb="10">
      <t>ニチ</t>
    </rPh>
    <rPh sb="13" eb="14">
      <t>ニチ</t>
    </rPh>
    <rPh sb="14" eb="16">
      <t>イナイ</t>
    </rPh>
    <phoneticPr fontId="3"/>
  </si>
  <si>
    <t>4か月後は？（121日～150日以内）</t>
    <rPh sb="2" eb="4">
      <t>ゲツゴ</t>
    </rPh>
    <rPh sb="10" eb="11">
      <t>ニチ</t>
    </rPh>
    <rPh sb="15" eb="16">
      <t>ニチ</t>
    </rPh>
    <rPh sb="16" eb="18">
      <t>イナイ</t>
    </rPh>
    <phoneticPr fontId="3"/>
  </si>
  <si>
    <t>5か月後は？（151日以上）</t>
    <rPh sb="2" eb="4">
      <t>ゲツゴ</t>
    </rPh>
    <rPh sb="10" eb="11">
      <t>ニチ</t>
    </rPh>
    <rPh sb="11" eb="13">
      <t>イジョウ</t>
    </rPh>
    <phoneticPr fontId="3"/>
  </si>
  <si>
    <t>4ヵ月後は？（121日～150日以内）</t>
    <rPh sb="2" eb="3">
      <t>ゲツ</t>
    </rPh>
    <rPh sb="3" eb="4">
      <t>ゴ</t>
    </rPh>
    <rPh sb="10" eb="11">
      <t>ニチ</t>
    </rPh>
    <rPh sb="15" eb="16">
      <t>ニチ</t>
    </rPh>
    <rPh sb="16" eb="18">
      <t>イナイ</t>
    </rPh>
    <phoneticPr fontId="3"/>
  </si>
  <si>
    <t>来月のその他支出の金額は？（リース料、支払利息、その他支出等）</t>
    <rPh sb="5" eb="6">
      <t>タ</t>
    </rPh>
    <rPh sb="6" eb="8">
      <t>シシュツ</t>
    </rPh>
    <rPh sb="9" eb="11">
      <t>キンガク</t>
    </rPh>
    <rPh sb="19" eb="21">
      <t>シハライ</t>
    </rPh>
    <rPh sb="21" eb="23">
      <t>リソク</t>
    </rPh>
    <rPh sb="26" eb="27">
      <t>タ</t>
    </rPh>
    <rPh sb="27" eb="29">
      <t>シシュツ</t>
    </rPh>
    <rPh sb="29" eb="30">
      <t>ナド</t>
    </rPh>
    <phoneticPr fontId="3"/>
  </si>
  <si>
    <t>販売やサービスの提供から31日から60日以内の回収はおおよそ何％？</t>
    <rPh sb="0" eb="2">
      <t>ハンバイ</t>
    </rPh>
    <rPh sb="8" eb="10">
      <t>テイキョウ</t>
    </rPh>
    <rPh sb="14" eb="15">
      <t>ニチ</t>
    </rPh>
    <rPh sb="19" eb="20">
      <t>ニチ</t>
    </rPh>
    <rPh sb="20" eb="22">
      <t>イナイ</t>
    </rPh>
    <rPh sb="23" eb="25">
      <t>カイシュウ</t>
    </rPh>
    <rPh sb="30" eb="31">
      <t>ナン</t>
    </rPh>
    <phoneticPr fontId="3"/>
  </si>
  <si>
    <t>販売やサービスの提供から30日以内の回収はおおよそ何％？</t>
    <rPh sb="0" eb="2">
      <t>ハンバイ</t>
    </rPh>
    <rPh sb="8" eb="10">
      <t>テイキョウ</t>
    </rPh>
    <rPh sb="14" eb="15">
      <t>ニチ</t>
    </rPh>
    <rPh sb="15" eb="17">
      <t>イナイ</t>
    </rPh>
    <rPh sb="18" eb="20">
      <t>カイシュウ</t>
    </rPh>
    <rPh sb="25" eb="26">
      <t>ナニ</t>
    </rPh>
    <phoneticPr fontId="3"/>
  </si>
  <si>
    <t>≪現預金≫</t>
    <rPh sb="1" eb="4">
      <t>ゲンヨキン</t>
    </rPh>
    <phoneticPr fontId="3"/>
  </si>
  <si>
    <t>≪売上・仕入≫</t>
    <rPh sb="1" eb="3">
      <t>ウリアゲ</t>
    </rPh>
    <rPh sb="4" eb="6">
      <t>シイレ</t>
    </rPh>
    <phoneticPr fontId="3"/>
  </si>
  <si>
    <t>≪財務支出他≫</t>
    <rPh sb="1" eb="3">
      <t>ザイム</t>
    </rPh>
    <rPh sb="3" eb="5">
      <t>シシュツ</t>
    </rPh>
    <rPh sb="5" eb="6">
      <t>ホカ</t>
    </rPh>
    <phoneticPr fontId="3"/>
  </si>
  <si>
    <t>≪経常支出≫</t>
    <rPh sb="1" eb="3">
      <t>ケイジョウ</t>
    </rPh>
    <rPh sb="3" eb="5">
      <t>シシュツ</t>
    </rPh>
    <phoneticPr fontId="3"/>
  </si>
  <si>
    <t>≪支払期間≫</t>
    <rPh sb="1" eb="3">
      <t>シハライ</t>
    </rPh>
    <rPh sb="3" eb="5">
      <t>キカン</t>
    </rPh>
    <phoneticPr fontId="3"/>
  </si>
  <si>
    <t>≪回収期間≫</t>
    <rPh sb="1" eb="3">
      <t>カイシュウ</t>
    </rPh>
    <rPh sb="3" eb="5">
      <t>キカン</t>
    </rPh>
    <phoneticPr fontId="3"/>
  </si>
  <si>
    <t>来月支払予定について、教えて下さい。</t>
    <rPh sb="0" eb="2">
      <t>ライゲツ</t>
    </rPh>
    <rPh sb="2" eb="4">
      <t>シハライ</t>
    </rPh>
    <rPh sb="4" eb="6">
      <t>ヨテイ</t>
    </rPh>
    <rPh sb="11" eb="12">
      <t>オシ</t>
    </rPh>
    <rPh sb="14" eb="15">
      <t>クダ</t>
    </rPh>
    <phoneticPr fontId="3"/>
  </si>
  <si>
    <t>来月の営業経費の金額は？（販売管理費における人件費、リース代を除く）</t>
    <rPh sb="0" eb="2">
      <t>ライゲツ</t>
    </rPh>
    <rPh sb="3" eb="5">
      <t>エイギョウ</t>
    </rPh>
    <rPh sb="5" eb="7">
      <t>ケイヒ</t>
    </rPh>
    <rPh sb="8" eb="10">
      <t>キンガク</t>
    </rPh>
    <rPh sb="13" eb="15">
      <t>ハンバイ</t>
    </rPh>
    <rPh sb="15" eb="18">
      <t>カンリヒ</t>
    </rPh>
    <rPh sb="22" eb="25">
      <t>ジンケンヒ</t>
    </rPh>
    <rPh sb="29" eb="30">
      <t>ダイ</t>
    </rPh>
    <rPh sb="31" eb="32">
      <t>ノゾ</t>
    </rPh>
    <phoneticPr fontId="3"/>
  </si>
  <si>
    <t>≪実績≫</t>
    <rPh sb="1" eb="3">
      <t>ジッセキ</t>
    </rPh>
    <phoneticPr fontId="3"/>
  </si>
  <si>
    <t>右表を反映</t>
    <rPh sb="0" eb="1">
      <t>ミギ</t>
    </rPh>
    <rPh sb="1" eb="2">
      <t>ヒョウ</t>
    </rPh>
    <rPh sb="3" eb="5">
      <t>ハンエイ</t>
    </rPh>
    <phoneticPr fontId="3"/>
  </si>
  <si>
    <t>≪営業外収入≫</t>
    <rPh sb="1" eb="4">
      <t>エイギョウガイ</t>
    </rPh>
    <rPh sb="4" eb="6">
      <t>シュウニュウ</t>
    </rPh>
    <phoneticPr fontId="3"/>
  </si>
  <si>
    <t>月初現預金残高</t>
    <rPh sb="0" eb="2">
      <t>ゲッショ</t>
    </rPh>
    <rPh sb="2" eb="5">
      <t>ゲンヨキン</t>
    </rPh>
    <rPh sb="5" eb="7">
      <t>ザンダカ</t>
    </rPh>
    <phoneticPr fontId="3"/>
  </si>
  <si>
    <t>月末現預金残高</t>
    <rPh sb="0" eb="2">
      <t>ゲツマツ</t>
    </rPh>
    <rPh sb="2" eb="5">
      <t>ゲンヨキン</t>
    </rPh>
    <rPh sb="5" eb="7">
      <t>ザンダカ</t>
    </rPh>
    <phoneticPr fontId="3"/>
  </si>
  <si>
    <t>減価償却費</t>
    <rPh sb="0" eb="2">
      <t>ゲンカ</t>
    </rPh>
    <rPh sb="2" eb="4">
      <t>ショウキャク</t>
    </rPh>
    <rPh sb="4" eb="5">
      <t>ヒ</t>
    </rPh>
    <phoneticPr fontId="3"/>
  </si>
  <si>
    <t>右表を反映</t>
    <phoneticPr fontId="3"/>
  </si>
  <si>
    <t>会社名</t>
    <rPh sb="0" eb="3">
      <t>カイシャメイ</t>
    </rPh>
    <phoneticPr fontId="3"/>
  </si>
  <si>
    <t>先月末の現預金残高は？</t>
    <phoneticPr fontId="3"/>
  </si>
  <si>
    <t>構成比(%)</t>
    <rPh sb="0" eb="3">
      <t>コウセイヒ</t>
    </rPh>
    <phoneticPr fontId="3"/>
  </si>
  <si>
    <t>販売先入力表</t>
    <rPh sb="0" eb="3">
      <t>ハンバイサキ</t>
    </rPh>
    <rPh sb="3" eb="5">
      <t>ニュウリョク</t>
    </rPh>
    <rPh sb="5" eb="6">
      <t>ヒョウ</t>
    </rPh>
    <phoneticPr fontId="3"/>
  </si>
  <si>
    <t>仕入先入力表</t>
    <rPh sb="0" eb="2">
      <t>シイレ</t>
    </rPh>
    <rPh sb="2" eb="3">
      <t>サキ</t>
    </rPh>
    <rPh sb="3" eb="5">
      <t>ニュウリョク</t>
    </rPh>
    <rPh sb="5" eb="6">
      <t>ヒョウ</t>
    </rPh>
    <phoneticPr fontId="3"/>
  </si>
  <si>
    <t>主要先の条件を仕入先入力表に記入してください。</t>
    <phoneticPr fontId="3"/>
  </si>
  <si>
    <t>本業以外の収入を教えてください。（助成金等）</t>
    <rPh sb="0" eb="2">
      <t>ホンギョウ</t>
    </rPh>
    <rPh sb="2" eb="4">
      <t>イガイ</t>
    </rPh>
    <rPh sb="5" eb="7">
      <t>シュウニュウ</t>
    </rPh>
    <rPh sb="8" eb="9">
      <t>オシ</t>
    </rPh>
    <rPh sb="17" eb="20">
      <t>ジョセイキン</t>
    </rPh>
    <rPh sb="20" eb="21">
      <t>ナド</t>
    </rPh>
    <phoneticPr fontId="3"/>
  </si>
  <si>
    <t>直近2ヶ月の売上・仕入の金額を教えてください。</t>
    <rPh sb="0" eb="2">
      <t>チョッキン</t>
    </rPh>
    <rPh sb="4" eb="5">
      <t>ゲツ</t>
    </rPh>
    <rPh sb="6" eb="8">
      <t>ウリアゲ</t>
    </rPh>
    <rPh sb="9" eb="11">
      <t>シイレ</t>
    </rPh>
    <rPh sb="12" eb="14">
      <t>キンガク</t>
    </rPh>
    <rPh sb="15" eb="16">
      <t>オシ</t>
    </rPh>
    <phoneticPr fontId="3"/>
  </si>
  <si>
    <t>今後6ヶ月の売上・仕入の予定金額を教えてください。</t>
    <rPh sb="0" eb="2">
      <t>コンゴ</t>
    </rPh>
    <rPh sb="4" eb="5">
      <t>ゲツ</t>
    </rPh>
    <rPh sb="6" eb="8">
      <t>ウリアゲ</t>
    </rPh>
    <rPh sb="9" eb="11">
      <t>シイレ</t>
    </rPh>
    <rPh sb="12" eb="14">
      <t>ヨテイ</t>
    </rPh>
    <rPh sb="14" eb="16">
      <t>キンガク</t>
    </rPh>
    <rPh sb="17" eb="18">
      <t>オシ</t>
    </rPh>
    <phoneticPr fontId="3"/>
  </si>
  <si>
    <t>支払予定の経費について、教えてください。</t>
    <rPh sb="0" eb="2">
      <t>シハライ</t>
    </rPh>
    <rPh sb="2" eb="4">
      <t>ヨテイ</t>
    </rPh>
    <rPh sb="5" eb="7">
      <t>ケイヒ</t>
    </rPh>
    <rPh sb="12" eb="13">
      <t>オシ</t>
    </rPh>
    <phoneticPr fontId="3"/>
  </si>
  <si>
    <t>資金繰り予定表</t>
    <rPh sb="0" eb="2">
      <t>シキン</t>
    </rPh>
    <rPh sb="2" eb="3">
      <t>グ</t>
    </rPh>
    <rPh sb="4" eb="6">
      <t>ヨテイ</t>
    </rPh>
    <rPh sb="6" eb="7">
      <t>ヒョウ</t>
    </rPh>
    <phoneticPr fontId="3"/>
  </si>
  <si>
    <t>達成率を加味した資金繰り予定表</t>
    <rPh sb="0" eb="3">
      <t>タッセイリツ</t>
    </rPh>
    <rPh sb="4" eb="6">
      <t>カミ</t>
    </rPh>
    <rPh sb="8" eb="10">
      <t>シキン</t>
    </rPh>
    <rPh sb="10" eb="11">
      <t>グ</t>
    </rPh>
    <rPh sb="12" eb="14">
      <t>ヨテイ</t>
    </rPh>
    <rPh sb="14" eb="15">
      <t>ヒョウ</t>
    </rPh>
    <phoneticPr fontId="3"/>
  </si>
  <si>
    <t>※</t>
    <phoneticPr fontId="3"/>
  </si>
  <si>
    <t>に数値を入力してください。</t>
    <rPh sb="1" eb="3">
      <t>スウチ</t>
    </rPh>
    <rPh sb="4" eb="6">
      <t>ニュウリョク</t>
    </rPh>
    <phoneticPr fontId="3"/>
  </si>
  <si>
    <t>営業経費等</t>
    <rPh sb="0" eb="2">
      <t>エイギョウ</t>
    </rPh>
    <rPh sb="2" eb="4">
      <t>ケイヒ</t>
    </rPh>
    <rPh sb="4" eb="5">
      <t>ナド</t>
    </rPh>
    <phoneticPr fontId="3"/>
  </si>
  <si>
    <t>その他支出</t>
    <rPh sb="2" eb="3">
      <t>タ</t>
    </rPh>
    <rPh sb="3" eb="5">
      <t>シシュツ</t>
    </rPh>
    <phoneticPr fontId="3"/>
  </si>
  <si>
    <t>資金繰り予定表作成日</t>
    <rPh sb="4" eb="6">
      <t>ヨテイ</t>
    </rPh>
    <phoneticPr fontId="3"/>
  </si>
  <si>
    <t>以前
掛取引分</t>
    <rPh sb="0" eb="2">
      <t>イゼン</t>
    </rPh>
    <rPh sb="3" eb="4">
      <t>カ</t>
    </rPh>
    <rPh sb="4" eb="6">
      <t>トリヒキ</t>
    </rPh>
    <rPh sb="6" eb="7">
      <t>ブン</t>
    </rPh>
    <phoneticPr fontId="3"/>
  </si>
  <si>
    <t>支払</t>
    <rPh sb="0" eb="2">
      <t>シハライ</t>
    </rPh>
    <phoneticPr fontId="3"/>
  </si>
  <si>
    <t>≪見込み≫</t>
    <rPh sb="1" eb="3">
      <t>ミコ</t>
    </rPh>
    <phoneticPr fontId="3"/>
  </si>
  <si>
    <t>末現預金</t>
    <rPh sb="0" eb="1">
      <t>マツ</t>
    </rPh>
    <rPh sb="1" eb="4">
      <t>ゲンヨキン</t>
    </rPh>
    <phoneticPr fontId="3"/>
  </si>
  <si>
    <t>売上入金</t>
    <rPh sb="0" eb="2">
      <t>ウリアゲ</t>
    </rPh>
    <rPh sb="2" eb="4">
      <t>ニュウキン</t>
    </rPh>
    <phoneticPr fontId="3"/>
  </si>
  <si>
    <t>売上の入金方法と入金までの期間を教えてください。</t>
    <rPh sb="0" eb="2">
      <t>ウリアゲ</t>
    </rPh>
    <rPh sb="3" eb="5">
      <t>ニュウキン</t>
    </rPh>
    <rPh sb="5" eb="7">
      <t>ホウホウ</t>
    </rPh>
    <rPh sb="8" eb="10">
      <t>ニュウキン</t>
    </rPh>
    <rPh sb="13" eb="15">
      <t>キカン</t>
    </rPh>
    <rPh sb="16" eb="17">
      <t>オシ</t>
    </rPh>
    <phoneticPr fontId="3"/>
  </si>
  <si>
    <t>仕入の支払方法と出金までの期間を教えてください。</t>
    <rPh sb="0" eb="2">
      <t>シイレ</t>
    </rPh>
    <rPh sb="3" eb="5">
      <t>シハライ</t>
    </rPh>
    <rPh sb="5" eb="7">
      <t>ホウホウ</t>
    </rPh>
    <rPh sb="8" eb="10">
      <t>シュッキン</t>
    </rPh>
    <rPh sb="13" eb="15">
      <t>キカン</t>
    </rPh>
    <rPh sb="16" eb="17">
      <t>オシ</t>
    </rPh>
    <phoneticPr fontId="3"/>
  </si>
  <si>
    <t>先月末の現預金残高について、教えてください。</t>
    <rPh sb="0" eb="3">
      <t>センゲツマツ</t>
    </rPh>
    <rPh sb="4" eb="7">
      <t>ゲンヨキン</t>
    </rPh>
    <rPh sb="5" eb="7">
      <t>ヨキン</t>
    </rPh>
    <rPh sb="7" eb="9">
      <t>ザンダカ</t>
    </rPh>
    <rPh sb="14" eb="15">
      <t>オシ</t>
    </rPh>
    <phoneticPr fontId="3"/>
  </si>
  <si>
    <t>借入金返済額について、教えてください。</t>
    <rPh sb="11" eb="12">
      <t>オシ</t>
    </rPh>
    <phoneticPr fontId="3"/>
  </si>
  <si>
    <t>手形取引</t>
    <rPh sb="0" eb="2">
      <t>テガタ</t>
    </rPh>
    <rPh sb="2" eb="4">
      <t>トリヒキ</t>
    </rPh>
    <phoneticPr fontId="3"/>
  </si>
  <si>
    <t>売上高</t>
    <rPh sb="0" eb="2">
      <t>ウリアゲ</t>
    </rPh>
    <rPh sb="2" eb="3">
      <t>タカ</t>
    </rPh>
    <phoneticPr fontId="3"/>
  </si>
  <si>
    <t>仕入高</t>
    <rPh sb="0" eb="2">
      <t>シイ</t>
    </rPh>
    <rPh sb="2" eb="3">
      <t>タカ</t>
    </rPh>
    <phoneticPr fontId="3"/>
  </si>
  <si>
    <t>各月の税金・社会保険料の金額は？</t>
  </si>
  <si>
    <t>税金・社保</t>
    <phoneticPr fontId="3"/>
  </si>
  <si>
    <t>前期決算</t>
    <rPh sb="0" eb="2">
      <t>ゼンキ</t>
    </rPh>
    <rPh sb="2" eb="4">
      <t>ケッサン</t>
    </rPh>
    <phoneticPr fontId="3"/>
  </si>
  <si>
    <t>労務費</t>
    <rPh sb="0" eb="3">
      <t>ロウムヒ</t>
    </rPh>
    <phoneticPr fontId="3"/>
  </si>
  <si>
    <t>製造原価</t>
    <rPh sb="0" eb="2">
      <t>セイゾウ</t>
    </rPh>
    <rPh sb="2" eb="4">
      <t>ゲンカ</t>
    </rPh>
    <phoneticPr fontId="3"/>
  </si>
  <si>
    <t>外注費の金額を教えてください。</t>
    <rPh sb="0" eb="3">
      <t>ガイチュウヒ</t>
    </rPh>
    <rPh sb="4" eb="6">
      <t>キンガク</t>
    </rPh>
    <rPh sb="7" eb="8">
      <t>オシ</t>
    </rPh>
    <phoneticPr fontId="3"/>
  </si>
  <si>
    <t>材料費</t>
    <rPh sb="0" eb="3">
      <t>ザイリョウヒ</t>
    </rPh>
    <phoneticPr fontId="3"/>
  </si>
  <si>
    <t>営業・製造経費</t>
    <rPh sb="0" eb="2">
      <t>エイギョウ</t>
    </rPh>
    <rPh sb="3" eb="5">
      <t>セイゾウ</t>
    </rPh>
    <rPh sb="5" eb="7">
      <t>ケイヒ</t>
    </rPh>
    <phoneticPr fontId="3"/>
  </si>
  <si>
    <t>販管費</t>
    <rPh sb="0" eb="3">
      <t>ハンカンヒ</t>
    </rPh>
    <phoneticPr fontId="3"/>
  </si>
  <si>
    <r>
      <t>各月の</t>
    </r>
    <r>
      <rPr>
        <u/>
        <sz val="10"/>
        <color theme="1"/>
        <rFont val="游ゴシック"/>
        <family val="3"/>
        <charset val="128"/>
        <scheme val="minor"/>
      </rPr>
      <t>販管費</t>
    </r>
    <r>
      <rPr>
        <sz val="10"/>
        <color theme="1"/>
        <rFont val="游ゴシック"/>
        <family val="2"/>
        <charset val="128"/>
        <scheme val="minor"/>
      </rPr>
      <t>のうち、人件費の金額は？（役員報酬、給与、賞与等）</t>
    </r>
    <phoneticPr fontId="3"/>
  </si>
  <si>
    <r>
      <t>各月の</t>
    </r>
    <r>
      <rPr>
        <u/>
        <sz val="10"/>
        <color theme="1"/>
        <rFont val="游ゴシック"/>
        <family val="3"/>
        <charset val="128"/>
        <scheme val="minor"/>
      </rPr>
      <t>製造原価</t>
    </r>
    <r>
      <rPr>
        <sz val="10"/>
        <color theme="1"/>
        <rFont val="游ゴシック"/>
        <family val="3"/>
        <charset val="128"/>
        <scheme val="minor"/>
      </rPr>
      <t>のうち、労務費の金額は？</t>
    </r>
    <rPh sb="0" eb="2">
      <t>カクツキ</t>
    </rPh>
    <rPh sb="3" eb="5">
      <t>セイゾウ</t>
    </rPh>
    <rPh sb="5" eb="7">
      <t>ゲンカ</t>
    </rPh>
    <rPh sb="11" eb="14">
      <t>ロウムヒ</t>
    </rPh>
    <rPh sb="15" eb="17">
      <t>キンガク</t>
    </rPh>
    <phoneticPr fontId="3"/>
  </si>
  <si>
    <t>各月の営業・製造経費の金額は？</t>
    <rPh sb="3" eb="5">
      <t>エイギョウ</t>
    </rPh>
    <rPh sb="6" eb="8">
      <t>セイゾウ</t>
    </rPh>
    <phoneticPr fontId="3"/>
  </si>
  <si>
    <t>外注費（販管費＋製造原価）</t>
    <rPh sb="0" eb="3">
      <t>ガイチュウヒ</t>
    </rPh>
    <rPh sb="4" eb="7">
      <t>ハンカンヒ</t>
    </rPh>
    <rPh sb="8" eb="10">
      <t>セイゾウ</t>
    </rPh>
    <rPh sb="10" eb="12">
      <t>ゲンカ</t>
    </rPh>
    <phoneticPr fontId="3"/>
  </si>
  <si>
    <t>取引先</t>
    <rPh sb="0" eb="2">
      <t>トリヒキ</t>
    </rPh>
    <rPh sb="2" eb="3">
      <t>サキ</t>
    </rPh>
    <phoneticPr fontId="3"/>
  </si>
  <si>
    <t>金額</t>
    <rPh sb="0" eb="2">
      <t>キンガク</t>
    </rPh>
    <phoneticPr fontId="3"/>
  </si>
  <si>
    <t>番号</t>
    <rPh sb="0" eb="2">
      <t>バンゴウ</t>
    </rPh>
    <phoneticPr fontId="3"/>
  </si>
  <si>
    <t>銀行</t>
    <rPh sb="0" eb="2">
      <t>ギンコウ</t>
    </rPh>
    <phoneticPr fontId="3"/>
  </si>
  <si>
    <t>期日</t>
    <rPh sb="0" eb="2">
      <t>キジツ</t>
    </rPh>
    <phoneticPr fontId="3"/>
  </si>
  <si>
    <t>備考</t>
    <rPh sb="0" eb="2">
      <t>ビコウ</t>
    </rPh>
    <phoneticPr fontId="3"/>
  </si>
  <si>
    <t>受取手形</t>
    <rPh sb="0" eb="2">
      <t>ウケトリ</t>
    </rPh>
    <rPh sb="2" eb="4">
      <t>テガタ</t>
    </rPh>
    <phoneticPr fontId="3"/>
  </si>
  <si>
    <t>支払手形</t>
    <rPh sb="0" eb="2">
      <t>シハライ</t>
    </rPh>
    <rPh sb="2" eb="4">
      <t>テガタ</t>
    </rPh>
    <phoneticPr fontId="3"/>
  </si>
  <si>
    <t>●●●</t>
    <phoneticPr fontId="3"/>
  </si>
  <si>
    <t>✔</t>
    <phoneticPr fontId="3"/>
  </si>
  <si>
    <t>割引日</t>
    <rPh sb="0" eb="2">
      <t>ワリビキ</t>
    </rPh>
    <rPh sb="2" eb="3">
      <t>ビ</t>
    </rPh>
    <phoneticPr fontId="3"/>
  </si>
  <si>
    <t>開始日</t>
    <rPh sb="0" eb="3">
      <t>カイシビ</t>
    </rPh>
    <phoneticPr fontId="3"/>
  </si>
  <si>
    <t>終了日</t>
    <rPh sb="0" eb="3">
      <t>シュウリョウビ</t>
    </rPh>
    <phoneticPr fontId="3"/>
  </si>
  <si>
    <t>集計対象日</t>
    <rPh sb="0" eb="2">
      <t>シュウケイ</t>
    </rPh>
    <rPh sb="2" eb="4">
      <t>タイショウ</t>
    </rPh>
    <rPh sb="4" eb="5">
      <t>ビ</t>
    </rPh>
    <phoneticPr fontId="3"/>
  </si>
  <si>
    <t>仕入</t>
    <rPh sb="0" eb="2">
      <t>シイ</t>
    </rPh>
    <phoneticPr fontId="3"/>
  </si>
  <si>
    <t>受取手形決済額</t>
    <rPh sb="0" eb="2">
      <t>ウケトリ</t>
    </rPh>
    <rPh sb="2" eb="4">
      <t>テガタ</t>
    </rPh>
    <rPh sb="4" eb="6">
      <t>ケッサイ</t>
    </rPh>
    <rPh sb="6" eb="7">
      <t>ガク</t>
    </rPh>
    <phoneticPr fontId="3"/>
  </si>
  <si>
    <t>支払手形決済額</t>
    <rPh sb="0" eb="2">
      <t>シハライ</t>
    </rPh>
    <rPh sb="2" eb="4">
      <t>テガタ</t>
    </rPh>
    <rPh sb="4" eb="6">
      <t>ケッサイ</t>
    </rPh>
    <rPh sb="6" eb="7">
      <t>ガク</t>
    </rPh>
    <phoneticPr fontId="3"/>
  </si>
  <si>
    <t>✔</t>
  </si>
  <si>
    <t>経常収支
(手形除く)</t>
    <rPh sb="0" eb="2">
      <t>ケイジョウ</t>
    </rPh>
    <rPh sb="2" eb="4">
      <t>シュウシ</t>
    </rPh>
    <rPh sb="6" eb="8">
      <t>テガタ</t>
    </rPh>
    <rPh sb="8" eb="9">
      <t>ノゾ</t>
    </rPh>
    <phoneticPr fontId="3"/>
  </si>
  <si>
    <t>AA5064</t>
    <phoneticPr fontId="3"/>
  </si>
  <si>
    <t>合計</t>
    <rPh sb="0" eb="2">
      <t>ゴウケイ</t>
    </rPh>
    <phoneticPr fontId="3"/>
  </si>
  <si>
    <t>現金(%)</t>
    <rPh sb="0" eb="2">
      <t>ゲンキン</t>
    </rPh>
    <phoneticPr fontId="3"/>
  </si>
  <si>
    <t>手形(%)</t>
    <rPh sb="0" eb="2">
      <t>テガタ</t>
    </rPh>
    <phoneticPr fontId="3"/>
  </si>
  <si>
    <t>リース料</t>
    <rPh sb="3" eb="4">
      <t>リョウ</t>
    </rPh>
    <phoneticPr fontId="3"/>
  </si>
  <si>
    <t>各月のその他支出の金額は？（リース料、支払利息、その他支出等）</t>
    <rPh sb="0" eb="1">
      <t>カク</t>
    </rPh>
    <phoneticPr fontId="3"/>
  </si>
  <si>
    <t>借入金調達額について、教えてください。</t>
    <rPh sb="0" eb="5">
      <t>カリイレキンチョウタツ</t>
    </rPh>
    <phoneticPr fontId="3"/>
  </si>
  <si>
    <t>設備投資額について、教えてください。</t>
    <rPh sb="0" eb="4">
      <t>セツビトウシ</t>
    </rPh>
    <phoneticPr fontId="3"/>
  </si>
  <si>
    <t>借入金返済</t>
    <rPh sb="0" eb="3">
      <t>カリイレキン</t>
    </rPh>
    <rPh sb="3" eb="5">
      <t>ヘンサイ</t>
    </rPh>
    <phoneticPr fontId="3"/>
  </si>
  <si>
    <t>借入金調達</t>
    <rPh sb="0" eb="3">
      <t>カリイレキン</t>
    </rPh>
    <rPh sb="3" eb="5">
      <t>チョウタツ</t>
    </rPh>
    <phoneticPr fontId="3"/>
  </si>
  <si>
    <t>保険料</t>
    <rPh sb="0" eb="3">
      <t>ホケンリョウ</t>
    </rPh>
    <phoneticPr fontId="3"/>
  </si>
  <si>
    <t>当期増減経費（月額）</t>
    <rPh sb="0" eb="2">
      <t>トウキ</t>
    </rPh>
    <rPh sb="2" eb="4">
      <t>ゾウゲン</t>
    </rPh>
    <rPh sb="4" eb="6">
      <t>ケイヒ</t>
    </rPh>
    <rPh sb="7" eb="9">
      <t>ゲツガク</t>
    </rPh>
    <phoneticPr fontId="3"/>
  </si>
  <si>
    <t>地代家賃</t>
    <rPh sb="0" eb="4">
      <t>チダイヤチン</t>
    </rPh>
    <phoneticPr fontId="3"/>
  </si>
  <si>
    <t>その他</t>
    <rPh sb="2" eb="3">
      <t>タ</t>
    </rPh>
    <phoneticPr fontId="3"/>
  </si>
  <si>
    <t>修正額</t>
    <rPh sb="0" eb="3">
      <t>シュウセイガク</t>
    </rPh>
    <phoneticPr fontId="3"/>
  </si>
  <si>
    <t>手形</t>
    <rPh sb="0" eb="2">
      <t>テガタ</t>
    </rPh>
    <phoneticPr fontId="3"/>
  </si>
  <si>
    <t>実績</t>
    <rPh sb="0" eb="2">
      <t>ジッセキ</t>
    </rPh>
    <phoneticPr fontId="3"/>
  </si>
  <si>
    <t>見込み</t>
    <rPh sb="0" eb="2">
      <t>ミコ</t>
    </rPh>
    <phoneticPr fontId="3"/>
  </si>
  <si>
    <t>以前掛け</t>
    <rPh sb="0" eb="2">
      <t>イゼン</t>
    </rPh>
    <rPh sb="2" eb="3">
      <t>カ</t>
    </rPh>
    <phoneticPr fontId="3"/>
  </si>
  <si>
    <t>出金</t>
    <rPh sb="0" eb="2">
      <t>シュッキン</t>
    </rPh>
    <phoneticPr fontId="3"/>
  </si>
  <si>
    <t>完了</t>
    <rPh sb="0" eb="2">
      <t>カンリョウ</t>
    </rPh>
    <phoneticPr fontId="3"/>
  </si>
  <si>
    <t>サイト(月)</t>
    <rPh sb="4" eb="5">
      <t>ツキ</t>
    </rPh>
    <phoneticPr fontId="3"/>
  </si>
  <si>
    <t>当月中</t>
    <rPh sb="0" eb="3">
      <t>トウゲツチュウ</t>
    </rPh>
    <phoneticPr fontId="3"/>
  </si>
  <si>
    <t>1か月</t>
    <phoneticPr fontId="3"/>
  </si>
  <si>
    <t>2か月</t>
    <rPh sb="2" eb="3">
      <t>ゲツ</t>
    </rPh>
    <phoneticPr fontId="3"/>
  </si>
  <si>
    <t>3か月</t>
    <rPh sb="2" eb="3">
      <t>ゲツ</t>
    </rPh>
    <phoneticPr fontId="3"/>
  </si>
  <si>
    <t>4か月</t>
    <rPh sb="2" eb="3">
      <t>ゲツ</t>
    </rPh>
    <phoneticPr fontId="3"/>
  </si>
  <si>
    <t>5か月以上</t>
    <rPh sb="2" eb="5">
      <t>ゲツイジョウ</t>
    </rPh>
    <phoneticPr fontId="3"/>
  </si>
  <si>
    <t>主要先の条件を販売先入力表に記入してください。</t>
    <rPh sb="7" eb="9">
      <t>ハンバイ</t>
    </rPh>
    <rPh sb="9" eb="10">
      <t>サキ</t>
    </rPh>
    <rPh sb="10" eb="12">
      <t>ニュウリョク</t>
    </rPh>
    <phoneticPr fontId="3"/>
  </si>
  <si>
    <t>決算月数</t>
    <rPh sb="0" eb="2">
      <t>ケッサン</t>
    </rPh>
    <rPh sb="2" eb="4">
      <t>ツキスウ</t>
    </rPh>
    <phoneticPr fontId="3"/>
  </si>
  <si>
    <t>営業・製造経費（年）</t>
    <rPh sb="0" eb="2">
      <t>エイギョウ</t>
    </rPh>
    <rPh sb="3" eb="5">
      <t>セイゾウ</t>
    </rPh>
    <rPh sb="5" eb="7">
      <t>ケイヒ</t>
    </rPh>
    <rPh sb="8" eb="9">
      <t>ネン</t>
    </rPh>
    <phoneticPr fontId="3"/>
  </si>
  <si>
    <t>当期営業・製造経費（月）</t>
    <rPh sb="0" eb="2">
      <t>トウキ</t>
    </rPh>
    <rPh sb="2" eb="4">
      <t>エイギョウ</t>
    </rPh>
    <rPh sb="5" eb="7">
      <t>セイゾウ</t>
    </rPh>
    <rPh sb="7" eb="9">
      <t>ケイヒ</t>
    </rPh>
    <rPh sb="10" eb="11">
      <t>ツキ</t>
    </rPh>
    <phoneticPr fontId="3"/>
  </si>
  <si>
    <t>左表を反映</t>
    <rPh sb="0" eb="1">
      <t>ヒダリ</t>
    </rPh>
    <rPh sb="1" eb="2">
      <t>ヒョウ</t>
    </rPh>
    <rPh sb="3" eb="5">
      <t>ハンエイ</t>
    </rPh>
    <phoneticPr fontId="3"/>
  </si>
  <si>
    <t>前期営業・製造経費（月）</t>
    <rPh sb="0" eb="2">
      <t>ゼンキ</t>
    </rPh>
    <rPh sb="2" eb="4">
      <t>エイギョウ</t>
    </rPh>
    <rPh sb="5" eb="7">
      <t>セイゾウ</t>
    </rPh>
    <rPh sb="7" eb="9">
      <t>ケイヒ</t>
    </rPh>
    <rPh sb="10" eb="11">
      <t>ツキ</t>
    </rPh>
    <phoneticPr fontId="3"/>
  </si>
  <si>
    <t>sample</t>
    <phoneticPr fontId="3"/>
  </si>
  <si>
    <t>〇〇銀行</t>
    <rPh sb="2" eb="4">
      <t>ギンコウ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</si>
</sst>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e&quot;年&quot;m&quot;月&quot;;@"/>
    <numFmt numFmtId="179" formatCode="#,##0_ ;[Red]\-#,##0\ "/>
    <numFmt numFmtId="180" formatCode="[$-411]ge\.m\.d;@"/>
    <numFmt numFmtId="181" formatCode="0&quot;か月&quot;"/>
  </numFmts>
  <fonts count="27" x14ac:knownFonts="1">
    <font>
      <sz val="11"/>
      <color theme="1"/>
      <name val="游ゴシック"/>
      <family val="2"/>
      <charset val="128"/>
      <scheme val="minor"/>
    </font>
    <font>
      <sz val="11"/>
      <color theme="1"/>
      <name val="游ゴシック"/>
      <family val="2"/>
      <charset val="128"/>
      <scheme val="minor"/>
    </font>
    <font>
      <sz val="24"/>
      <color theme="1"/>
      <name val="ＭＳ ゴシック"/>
      <family val="3"/>
      <charset val="128"/>
    </font>
    <font>
      <sz val="6"/>
      <name val="游ゴシック"/>
      <family val="2"/>
      <charset val="128"/>
      <scheme val="minor"/>
    </font>
    <font>
      <sz val="20"/>
      <color theme="1"/>
      <name val="ＭＳ ゴシック"/>
      <family val="3"/>
      <charset val="128"/>
    </font>
    <font>
      <b/>
      <sz val="20"/>
      <color theme="1"/>
      <name val="ＭＳ ゴシック"/>
      <family val="3"/>
      <charset val="128"/>
    </font>
    <font>
      <sz val="11"/>
      <color theme="1"/>
      <name val="游ゴシック"/>
      <family val="3"/>
      <charset val="128"/>
      <scheme val="minor"/>
    </font>
    <font>
      <b/>
      <sz val="24"/>
      <color theme="1"/>
      <name val="ＭＳ ゴシック"/>
      <family val="3"/>
      <charset val="128"/>
    </font>
    <font>
      <b/>
      <sz val="16"/>
      <color theme="1"/>
      <name val="游ゴシック"/>
      <family val="3"/>
      <charset val="128"/>
      <scheme val="minor"/>
    </font>
    <font>
      <sz val="11"/>
      <color theme="0"/>
      <name val="游ゴシック"/>
      <family val="2"/>
      <charset val="128"/>
      <scheme val="minor"/>
    </font>
    <font>
      <b/>
      <sz val="18"/>
      <color theme="1"/>
      <name val="游ゴシック"/>
      <family val="3"/>
      <charset val="128"/>
      <scheme val="minor"/>
    </font>
    <font>
      <b/>
      <sz val="14"/>
      <color theme="1"/>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theme="0"/>
      <name val="游ゴシック"/>
      <family val="3"/>
      <charset val="128"/>
      <scheme val="minor"/>
    </font>
    <font>
      <b/>
      <sz val="12"/>
      <color theme="0"/>
      <name val="游ゴシック"/>
      <family val="3"/>
      <charset val="128"/>
      <scheme val="minor"/>
    </font>
    <font>
      <b/>
      <sz val="11"/>
      <color theme="1"/>
      <name val="游ゴシック"/>
      <family val="3"/>
      <charset val="128"/>
      <scheme val="minor"/>
    </font>
    <font>
      <sz val="11"/>
      <name val="ＭＳ Ｐゴシック"/>
      <family val="3"/>
      <charset val="128"/>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0.5"/>
      <color theme="1"/>
      <name val="游ゴシック"/>
      <family val="3"/>
      <charset val="128"/>
      <scheme val="minor"/>
    </font>
    <font>
      <u/>
      <sz val="10"/>
      <color theme="1"/>
      <name val="游ゴシック"/>
      <family val="3"/>
      <charset val="128"/>
      <scheme val="minor"/>
    </font>
    <font>
      <b/>
      <sz val="18"/>
      <color rgb="FFFF0000"/>
      <name val="游ゴシック"/>
      <family val="3"/>
      <charset val="128"/>
      <scheme val="minor"/>
    </font>
  </fonts>
  <fills count="14">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2CC"/>
        <bgColor indexed="64"/>
      </patternFill>
    </fill>
    <fill>
      <patternFill patternType="solid">
        <fgColor theme="1" tint="0.499984740745262"/>
        <bgColor indexed="64"/>
      </patternFill>
    </fill>
    <fill>
      <patternFill patternType="solid">
        <fgColor rgb="FFFFFF66"/>
        <bgColor indexed="64"/>
      </patternFill>
    </fill>
    <fill>
      <patternFill patternType="solid">
        <fgColor rgb="FFCCFF99"/>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thin">
        <color auto="1"/>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8" fillId="0" borderId="0" applyFont="0" applyFill="0" applyBorder="0" applyAlignment="0" applyProtection="0"/>
    <xf numFmtId="38" fontId="18" fillId="0" borderId="0" applyFont="0" applyFill="0" applyBorder="0" applyAlignment="0" applyProtection="0">
      <alignment vertical="center"/>
    </xf>
    <xf numFmtId="0" fontId="18" fillId="0" borderId="0"/>
    <xf numFmtId="0" fontId="18" fillId="0" borderId="0">
      <alignment vertical="center"/>
    </xf>
  </cellStyleXfs>
  <cellXfs count="317">
    <xf numFmtId="0" fontId="0" fillId="0" borderId="0" xfId="0">
      <alignment vertical="center"/>
    </xf>
    <xf numFmtId="0" fontId="2" fillId="0" borderId="1" xfId="0" applyFont="1" applyBorder="1" applyAlignment="1">
      <alignment horizontal="right" vertical="center"/>
    </xf>
    <xf numFmtId="0" fontId="2" fillId="0" borderId="9" xfId="0" applyFont="1" applyBorder="1" applyAlignment="1">
      <alignment horizontal="center" vertical="center"/>
    </xf>
    <xf numFmtId="38" fontId="0" fillId="0" borderId="0" xfId="1" applyFont="1">
      <alignment vertical="center"/>
    </xf>
    <xf numFmtId="38" fontId="4" fillId="0" borderId="0" xfId="1" applyFont="1" applyAlignment="1">
      <alignment horizontal="right" vertical="center"/>
    </xf>
    <xf numFmtId="49" fontId="4" fillId="0" borderId="10" xfId="0" applyNumberFormat="1" applyFont="1" applyBorder="1" applyAlignment="1">
      <alignment horizontal="center" vertical="center"/>
    </xf>
    <xf numFmtId="38" fontId="4" fillId="0" borderId="1" xfId="1" applyFont="1" applyBorder="1" applyAlignment="1">
      <alignment horizontal="center" vertical="center"/>
    </xf>
    <xf numFmtId="0" fontId="5" fillId="0" borderId="1" xfId="0" applyFont="1" applyBorder="1" applyAlignment="1">
      <alignment horizontal="left" vertical="center"/>
    </xf>
    <xf numFmtId="38" fontId="4" fillId="0" borderId="11" xfId="1" applyFont="1" applyBorder="1">
      <alignment vertical="center"/>
    </xf>
    <xf numFmtId="38" fontId="4" fillId="0" borderId="1" xfId="1" applyFont="1" applyBorder="1">
      <alignment vertical="center"/>
    </xf>
    <xf numFmtId="38" fontId="4" fillId="0" borderId="12" xfId="1" applyFont="1" applyBorder="1">
      <alignment vertical="center"/>
    </xf>
    <xf numFmtId="0" fontId="4" fillId="0" borderId="13" xfId="0" applyFont="1" applyBorder="1" applyAlignment="1">
      <alignment horizontal="left" vertical="center"/>
    </xf>
    <xf numFmtId="38" fontId="4" fillId="0" borderId="14" xfId="1" applyFont="1" applyBorder="1">
      <alignment vertical="center"/>
    </xf>
    <xf numFmtId="38" fontId="4" fillId="0" borderId="13" xfId="1" applyFont="1" applyBorder="1">
      <alignment vertical="center"/>
    </xf>
    <xf numFmtId="38" fontId="4" fillId="0" borderId="15" xfId="1" applyFont="1" applyBorder="1">
      <alignment vertical="center"/>
    </xf>
    <xf numFmtId="0" fontId="4" fillId="0" borderId="16" xfId="0" applyFont="1" applyBorder="1" applyAlignment="1">
      <alignment horizontal="left" vertical="center"/>
    </xf>
    <xf numFmtId="38" fontId="4" fillId="0" borderId="17" xfId="1" applyFont="1" applyBorder="1">
      <alignment vertical="center"/>
    </xf>
    <xf numFmtId="38" fontId="4" fillId="0" borderId="16" xfId="1" applyFont="1" applyBorder="1">
      <alignment vertical="center"/>
    </xf>
    <xf numFmtId="38" fontId="4" fillId="0" borderId="18" xfId="1" applyFont="1" applyBorder="1">
      <alignment vertical="center"/>
    </xf>
    <xf numFmtId="0" fontId="4" fillId="0" borderId="19" xfId="0" applyFont="1" applyBorder="1" applyAlignment="1">
      <alignment horizontal="left" vertical="center"/>
    </xf>
    <xf numFmtId="38" fontId="4" fillId="0" borderId="20" xfId="1" applyFont="1" applyBorder="1">
      <alignment vertical="center"/>
    </xf>
    <xf numFmtId="38" fontId="4" fillId="0" borderId="19" xfId="1" applyFont="1" applyBorder="1">
      <alignment vertical="center"/>
    </xf>
    <xf numFmtId="38" fontId="4" fillId="0" borderId="21" xfId="1" applyFont="1" applyBorder="1">
      <alignment vertical="center"/>
    </xf>
    <xf numFmtId="0" fontId="5" fillId="0" borderId="10" xfId="0" applyFont="1" applyBorder="1" applyAlignment="1">
      <alignment horizontal="left" vertical="center" wrapText="1"/>
    </xf>
    <xf numFmtId="38" fontId="4" fillId="0" borderId="4" xfId="1" applyFont="1" applyBorder="1">
      <alignment vertical="center"/>
    </xf>
    <xf numFmtId="38" fontId="4" fillId="0" borderId="10" xfId="1" applyFont="1" applyBorder="1">
      <alignment vertical="center"/>
    </xf>
    <xf numFmtId="38" fontId="4" fillId="0" borderId="3" xfId="1" applyFont="1" applyBorder="1">
      <alignment vertical="center"/>
    </xf>
    <xf numFmtId="0" fontId="4" fillId="0" borderId="22" xfId="0" applyFont="1" applyBorder="1" applyAlignment="1">
      <alignment horizontal="left" vertical="center"/>
    </xf>
    <xf numFmtId="38" fontId="4" fillId="0" borderId="23" xfId="1" applyFont="1" applyBorder="1">
      <alignment vertical="center"/>
    </xf>
    <xf numFmtId="38" fontId="4" fillId="0" borderId="22" xfId="1" applyFont="1" applyBorder="1">
      <alignment vertical="center"/>
    </xf>
    <xf numFmtId="38" fontId="4" fillId="0" borderId="24" xfId="1" applyFont="1" applyBorder="1">
      <alignment vertical="center"/>
    </xf>
    <xf numFmtId="0" fontId="5" fillId="0" borderId="1" xfId="0" applyFont="1" applyBorder="1" applyAlignment="1">
      <alignment horizontal="left" vertical="center" wrapText="1"/>
    </xf>
    <xf numFmtId="0" fontId="5" fillId="0" borderId="26" xfId="0" applyFont="1" applyBorder="1" applyAlignment="1">
      <alignment horizontal="left" vertical="center" wrapText="1"/>
    </xf>
    <xf numFmtId="38" fontId="4" fillId="0" borderId="0" xfId="1" applyFont="1">
      <alignment vertical="center"/>
    </xf>
    <xf numFmtId="38" fontId="4" fillId="0" borderId="26" xfId="1" applyFont="1" applyBorder="1">
      <alignment vertical="center"/>
    </xf>
    <xf numFmtId="38" fontId="4" fillId="0" borderId="6" xfId="1" applyFont="1" applyBorder="1">
      <alignment vertical="center"/>
    </xf>
    <xf numFmtId="0" fontId="7" fillId="0" borderId="0" xfId="0" applyFont="1">
      <alignment vertical="center"/>
    </xf>
    <xf numFmtId="0" fontId="4" fillId="0" borderId="26" xfId="0" applyFont="1" applyBorder="1" applyAlignment="1">
      <alignment horizontal="left" vertical="center"/>
    </xf>
    <xf numFmtId="38" fontId="4" fillId="0" borderId="0" xfId="1" applyFont="1" applyBorder="1">
      <alignment vertical="center"/>
    </xf>
    <xf numFmtId="0" fontId="4" fillId="0" borderId="27" xfId="0" applyFont="1" applyBorder="1" applyAlignment="1">
      <alignment horizontal="left" vertical="center"/>
    </xf>
    <xf numFmtId="38" fontId="4" fillId="0" borderId="28" xfId="1" applyFont="1" applyBorder="1">
      <alignment vertical="center"/>
    </xf>
    <xf numFmtId="38" fontId="4" fillId="0" borderId="27" xfId="1" applyFont="1" applyBorder="1">
      <alignment vertical="center"/>
    </xf>
    <xf numFmtId="38" fontId="4" fillId="0" borderId="29" xfId="1" applyFont="1" applyBorder="1">
      <alignment vertical="center"/>
    </xf>
    <xf numFmtId="0" fontId="2" fillId="0" borderId="1" xfId="0" applyFont="1" applyBorder="1" applyAlignment="1">
      <alignment horizontal="center" vertical="center"/>
    </xf>
    <xf numFmtId="0" fontId="0" fillId="0" borderId="0" xfId="0" applyAlignment="1">
      <alignment vertical="center" wrapText="1"/>
    </xf>
    <xf numFmtId="177" fontId="0" fillId="2" borderId="1" xfId="0" applyNumberFormat="1" applyFill="1" applyBorder="1">
      <alignment vertical="center"/>
    </xf>
    <xf numFmtId="177" fontId="0" fillId="0" borderId="0" xfId="0" applyNumberFormat="1">
      <alignment vertical="center"/>
    </xf>
    <xf numFmtId="9" fontId="0" fillId="2" borderId="1" xfId="2" applyFont="1" applyFill="1" applyBorder="1">
      <alignment vertical="center"/>
    </xf>
    <xf numFmtId="0" fontId="0" fillId="2" borderId="1" xfId="0" applyFill="1" applyBorder="1">
      <alignment vertical="center"/>
    </xf>
    <xf numFmtId="0" fontId="0" fillId="0" borderId="0" xfId="0" applyAlignment="1">
      <alignment vertical="center" shrinkToFit="1"/>
    </xf>
    <xf numFmtId="0" fontId="0" fillId="0" borderId="31" xfId="0" applyBorder="1" applyAlignment="1">
      <alignment vertical="center" shrinkToFit="1"/>
    </xf>
    <xf numFmtId="9" fontId="0" fillId="2" borderId="32" xfId="0" applyNumberFormat="1" applyFill="1" applyBorder="1">
      <alignment vertical="center"/>
    </xf>
    <xf numFmtId="0" fontId="9" fillId="3" borderId="0" xfId="0" applyFont="1" applyFill="1" applyAlignment="1">
      <alignment vertical="center" shrinkToFit="1"/>
    </xf>
    <xf numFmtId="0" fontId="9" fillId="3" borderId="0" xfId="0" applyFont="1" applyFill="1">
      <alignment vertical="center"/>
    </xf>
    <xf numFmtId="9" fontId="9" fillId="3" borderId="0" xfId="0" applyNumberFormat="1" applyFont="1" applyFill="1">
      <alignment vertical="center"/>
    </xf>
    <xf numFmtId="0" fontId="0" fillId="3" borderId="0" xfId="0" applyFill="1">
      <alignment vertical="center"/>
    </xf>
    <xf numFmtId="9" fontId="0" fillId="3" borderId="0" xfId="2" applyFont="1" applyFill="1">
      <alignment vertical="center"/>
    </xf>
    <xf numFmtId="9" fontId="13" fillId="3" borderId="0" xfId="2" applyFont="1" applyFill="1">
      <alignment vertical="center"/>
    </xf>
    <xf numFmtId="0" fontId="13" fillId="3" borderId="0" xfId="0" applyFont="1" applyFill="1">
      <alignment vertical="center"/>
    </xf>
    <xf numFmtId="0" fontId="13" fillId="0" borderId="0" xfId="0" applyFont="1">
      <alignment vertical="center"/>
    </xf>
    <xf numFmtId="0" fontId="14" fillId="4" borderId="1" xfId="0" applyFont="1" applyFill="1" applyBorder="1" applyAlignment="1">
      <alignment vertical="center" shrinkToFit="1"/>
    </xf>
    <xf numFmtId="178" fontId="15" fillId="4" borderId="1" xfId="0" applyNumberFormat="1" applyFont="1" applyFill="1" applyBorder="1" applyAlignment="1">
      <alignment horizontal="center" vertical="center"/>
    </xf>
    <xf numFmtId="0" fontId="16" fillId="4" borderId="1" xfId="0" applyFont="1" applyFill="1" applyBorder="1" applyAlignment="1">
      <alignment vertical="center" shrinkToFit="1"/>
    </xf>
    <xf numFmtId="0" fontId="14" fillId="0" borderId="1" xfId="0" applyFont="1" applyBorder="1" applyAlignment="1">
      <alignment vertical="center" shrinkToFit="1"/>
    </xf>
    <xf numFmtId="179" fontId="13" fillId="3" borderId="1" xfId="0" applyNumberFormat="1" applyFont="1" applyFill="1" applyBorder="1">
      <alignment vertical="center"/>
    </xf>
    <xf numFmtId="0" fontId="14" fillId="3" borderId="1" xfId="0" applyFont="1" applyFill="1" applyBorder="1" applyAlignment="1">
      <alignment vertical="center" shrinkToFit="1"/>
    </xf>
    <xf numFmtId="179" fontId="13" fillId="0" borderId="1" xfId="0" applyNumberFormat="1" applyFont="1" applyBorder="1">
      <alignment vertical="center"/>
    </xf>
    <xf numFmtId="0" fontId="14" fillId="0" borderId="0" xfId="0" applyFont="1" applyAlignment="1">
      <alignment vertical="center" shrinkToFit="1"/>
    </xf>
    <xf numFmtId="0" fontId="14" fillId="3" borderId="0" xfId="0" applyFont="1" applyFill="1" applyAlignment="1">
      <alignment vertical="center" shrinkToFit="1"/>
    </xf>
    <xf numFmtId="177" fontId="13" fillId="0" borderId="1" xfId="0" applyNumberFormat="1" applyFont="1" applyBorder="1">
      <alignment vertical="center"/>
    </xf>
    <xf numFmtId="0" fontId="14" fillId="5" borderId="1" xfId="0" applyFont="1" applyFill="1" applyBorder="1" applyAlignment="1">
      <alignment vertical="center" shrinkToFit="1"/>
    </xf>
    <xf numFmtId="177" fontId="13" fillId="5" borderId="1" xfId="0" applyNumberFormat="1" applyFont="1" applyFill="1" applyBorder="1">
      <alignment vertical="center"/>
    </xf>
    <xf numFmtId="177" fontId="13" fillId="0" borderId="0" xfId="0" applyNumberFormat="1" applyFont="1">
      <alignment vertical="center"/>
    </xf>
    <xf numFmtId="176" fontId="13" fillId="0" borderId="1" xfId="0" applyNumberFormat="1" applyFont="1" applyBorder="1">
      <alignment vertical="center"/>
    </xf>
    <xf numFmtId="176" fontId="13" fillId="5" borderId="1" xfId="0" applyNumberFormat="1" applyFont="1" applyFill="1" applyBorder="1">
      <alignment vertical="center"/>
    </xf>
    <xf numFmtId="176" fontId="13" fillId="0" borderId="0" xfId="0" applyNumberFormat="1" applyFont="1">
      <alignment vertical="center"/>
    </xf>
    <xf numFmtId="179" fontId="13" fillId="5" borderId="1" xfId="0" applyNumberFormat="1" applyFont="1" applyFill="1" applyBorder="1">
      <alignment vertical="center"/>
    </xf>
    <xf numFmtId="0" fontId="14" fillId="2" borderId="1" xfId="0" applyFont="1" applyFill="1" applyBorder="1" applyAlignment="1">
      <alignment vertical="center" shrinkToFit="1"/>
    </xf>
    <xf numFmtId="179" fontId="13" fillId="2" borderId="1" xfId="0" applyNumberFormat="1" applyFont="1" applyFill="1" applyBorder="1">
      <alignment vertical="center"/>
    </xf>
    <xf numFmtId="0" fontId="0" fillId="0" borderId="1" xfId="0" applyBorder="1">
      <alignment vertical="center"/>
    </xf>
    <xf numFmtId="9" fontId="0" fillId="3" borderId="1" xfId="2" applyFont="1" applyFill="1" applyBorder="1">
      <alignment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1" xfId="0" applyFill="1" applyBorder="1">
      <alignment vertical="center"/>
    </xf>
    <xf numFmtId="178" fontId="15" fillId="4" borderId="1" xfId="0" applyNumberFormat="1" applyFont="1" applyFill="1" applyBorder="1" applyAlignment="1">
      <alignment horizontal="center" vertical="center" shrinkToFit="1"/>
    </xf>
    <xf numFmtId="0" fontId="17" fillId="0" borderId="0" xfId="0" applyFont="1" applyAlignment="1">
      <alignment vertical="center" shrinkToFit="1"/>
    </xf>
    <xf numFmtId="0" fontId="17" fillId="0" borderId="0" xfId="0" applyFont="1">
      <alignment vertical="center"/>
    </xf>
    <xf numFmtId="9" fontId="8" fillId="3" borderId="0" xfId="2" applyFont="1" applyFill="1">
      <alignment vertical="center"/>
    </xf>
    <xf numFmtId="0" fontId="8" fillId="3" borderId="0" xfId="0" applyFont="1" applyFill="1">
      <alignment vertical="center"/>
    </xf>
    <xf numFmtId="0" fontId="8" fillId="0" borderId="0" xfId="0" applyFont="1">
      <alignment vertical="center"/>
    </xf>
    <xf numFmtId="0" fontId="14" fillId="6" borderId="1" xfId="0" applyFont="1" applyFill="1" applyBorder="1" applyAlignment="1">
      <alignment vertical="center" shrinkToFit="1"/>
    </xf>
    <xf numFmtId="177" fontId="13" fillId="6" borderId="1" xfId="0" applyNumberFormat="1" applyFont="1" applyFill="1" applyBorder="1">
      <alignment vertical="center"/>
    </xf>
    <xf numFmtId="176" fontId="13" fillId="6" borderId="1" xfId="0" applyNumberFormat="1" applyFont="1" applyFill="1" applyBorder="1">
      <alignment vertical="center"/>
    </xf>
    <xf numFmtId="179" fontId="13" fillId="6" borderId="1" xfId="0" applyNumberFormat="1" applyFont="1" applyFill="1" applyBorder="1">
      <alignment vertical="center"/>
    </xf>
    <xf numFmtId="9" fontId="0" fillId="0" borderId="0" xfId="0" applyNumberFormat="1">
      <alignment vertical="center"/>
    </xf>
    <xf numFmtId="9" fontId="0" fillId="2" borderId="0" xfId="2" applyFont="1" applyFill="1" applyBorder="1">
      <alignment vertical="center"/>
    </xf>
    <xf numFmtId="9" fontId="0" fillId="3" borderId="0" xfId="2" applyFont="1" applyFill="1" applyBorder="1">
      <alignment vertical="center"/>
    </xf>
    <xf numFmtId="177" fontId="0" fillId="8" borderId="1" xfId="0" applyNumberFormat="1" applyFill="1" applyBorder="1">
      <alignment vertical="center"/>
    </xf>
    <xf numFmtId="177" fontId="0" fillId="2" borderId="12" xfId="0" applyNumberFormat="1" applyFill="1" applyBorder="1">
      <alignment vertical="center"/>
    </xf>
    <xf numFmtId="177" fontId="0" fillId="2" borderId="30" xfId="0" applyNumberFormat="1" applyFill="1" applyBorder="1">
      <alignment vertical="center"/>
    </xf>
    <xf numFmtId="177" fontId="0" fillId="0" borderId="1" xfId="0" applyNumberFormat="1" applyBorder="1">
      <alignment vertical="center"/>
    </xf>
    <xf numFmtId="0" fontId="20" fillId="0" borderId="1" xfId="0" applyFont="1" applyBorder="1" applyAlignment="1">
      <alignment horizontal="left" vertical="center"/>
    </xf>
    <xf numFmtId="0" fontId="13" fillId="0" borderId="1" xfId="0" applyFont="1" applyBorder="1" applyAlignment="1">
      <alignment vertical="center" shrinkToFit="1"/>
    </xf>
    <xf numFmtId="38" fontId="13" fillId="0" borderId="1" xfId="1" applyFont="1" applyBorder="1" applyAlignment="1">
      <alignment vertical="center" shrinkToFit="1"/>
    </xf>
    <xf numFmtId="38" fontId="13" fillId="5" borderId="1" xfId="1" applyFont="1" applyFill="1" applyBorder="1" applyAlignment="1">
      <alignment vertical="center" shrinkToFit="1"/>
    </xf>
    <xf numFmtId="38" fontId="13" fillId="0" borderId="0" xfId="1" applyFont="1" applyAlignment="1">
      <alignment vertical="center" shrinkToFit="1"/>
    </xf>
    <xf numFmtId="38" fontId="13" fillId="5" borderId="1" xfId="1" applyFont="1" applyFill="1" applyBorder="1">
      <alignment vertical="center"/>
    </xf>
    <xf numFmtId="38" fontId="13" fillId="7" borderId="1" xfId="1" applyFont="1" applyFill="1" applyBorder="1" applyAlignment="1">
      <alignment vertical="center" shrinkToFit="1"/>
    </xf>
    <xf numFmtId="38" fontId="13" fillId="0" borderId="1" xfId="1" applyFont="1" applyBorder="1">
      <alignment vertical="center"/>
    </xf>
    <xf numFmtId="177" fontId="0" fillId="0" borderId="10" xfId="0" applyNumberFormat="1" applyBorder="1" applyAlignment="1">
      <alignment horizontal="center" vertical="center"/>
    </xf>
    <xf numFmtId="0" fontId="0" fillId="3" borderId="0" xfId="0" applyFill="1" applyAlignment="1">
      <alignment horizontal="center" vertical="center"/>
    </xf>
    <xf numFmtId="38" fontId="13" fillId="0" borderId="1" xfId="0" applyNumberFormat="1" applyFont="1" applyBorder="1" applyAlignment="1">
      <alignment vertical="center" shrinkToFit="1"/>
    </xf>
    <xf numFmtId="0" fontId="0" fillId="0" borderId="0" xfId="0" applyAlignment="1">
      <alignment horizontal="center" vertical="center" textRotation="255" readingOrder="1"/>
    </xf>
    <xf numFmtId="0" fontId="19" fillId="0" borderId="0" xfId="0" applyFont="1" applyAlignment="1">
      <alignment horizontal="center" vertical="top" textRotation="255"/>
    </xf>
    <xf numFmtId="0" fontId="20" fillId="0" borderId="0" xfId="0" applyFont="1" applyAlignment="1">
      <alignment horizontal="left" vertical="center"/>
    </xf>
    <xf numFmtId="177" fontId="0" fillId="0" borderId="11" xfId="0" applyNumberFormat="1" applyBorder="1">
      <alignment vertical="center"/>
    </xf>
    <xf numFmtId="0" fontId="0" fillId="0" borderId="4" xfId="0" applyBorder="1">
      <alignment vertical="center"/>
    </xf>
    <xf numFmtId="0" fontId="17" fillId="0" borderId="0" xfId="0" applyFont="1" applyAlignment="1">
      <alignment horizontal="center" vertical="center"/>
    </xf>
    <xf numFmtId="177" fontId="0" fillId="0" borderId="25" xfId="0" applyNumberFormat="1" applyBorder="1">
      <alignment vertical="center"/>
    </xf>
    <xf numFmtId="0" fontId="20" fillId="0" borderId="25" xfId="0" applyFont="1" applyBorder="1" applyAlignment="1">
      <alignment horizontal="left" vertical="center"/>
    </xf>
    <xf numFmtId="177" fontId="0" fillId="0" borderId="4" xfId="0" applyNumberFormat="1" applyBorder="1">
      <alignment vertical="center"/>
    </xf>
    <xf numFmtId="0" fontId="20" fillId="0" borderId="4" xfId="0" applyFont="1" applyBorder="1" applyAlignment="1">
      <alignment horizontal="left" vertical="center"/>
    </xf>
    <xf numFmtId="9" fontId="0" fillId="0" borderId="0" xfId="2" applyFont="1" applyFill="1" applyBorder="1">
      <alignment vertical="center"/>
    </xf>
    <xf numFmtId="9" fontId="0" fillId="0" borderId="11" xfId="2" applyFont="1" applyFill="1" applyBorder="1">
      <alignment vertical="center"/>
    </xf>
    <xf numFmtId="38" fontId="13" fillId="5" borderId="1" xfId="1" applyFont="1" applyFill="1" applyBorder="1" applyAlignment="1">
      <alignment horizontal="right" vertical="center"/>
    </xf>
    <xf numFmtId="38" fontId="13" fillId="2" borderId="1" xfId="1" applyFont="1" applyFill="1" applyBorder="1">
      <alignment vertical="center"/>
    </xf>
    <xf numFmtId="38" fontId="13" fillId="3" borderId="1" xfId="1" applyFont="1" applyFill="1" applyBorder="1">
      <alignment vertical="center"/>
    </xf>
    <xf numFmtId="38" fontId="14" fillId="0" borderId="0" xfId="1" applyFont="1" applyAlignment="1">
      <alignment vertical="center" shrinkToFit="1"/>
    </xf>
    <xf numFmtId="38" fontId="13" fillId="3" borderId="0" xfId="1" applyFont="1" applyFill="1">
      <alignment vertical="center"/>
    </xf>
    <xf numFmtId="38" fontId="13" fillId="0" borderId="0" xfId="1" applyFont="1">
      <alignment vertical="center"/>
    </xf>
    <xf numFmtId="178" fontId="15" fillId="4" borderId="1" xfId="1" applyNumberFormat="1" applyFont="1" applyFill="1" applyBorder="1" applyAlignment="1">
      <alignment horizontal="center" vertical="center"/>
    </xf>
    <xf numFmtId="178" fontId="15" fillId="4" borderId="1" xfId="1" applyNumberFormat="1" applyFont="1" applyFill="1" applyBorder="1" applyAlignment="1">
      <alignment horizontal="center" vertical="center" shrinkToFit="1"/>
    </xf>
    <xf numFmtId="38" fontId="13" fillId="0" borderId="0" xfId="1" applyFont="1" applyFill="1" applyBorder="1" applyAlignment="1">
      <alignment vertical="center" shrinkToFit="1"/>
    </xf>
    <xf numFmtId="38" fontId="13" fillId="0" borderId="0" xfId="1" applyFont="1" applyFill="1" applyBorder="1">
      <alignment vertical="center"/>
    </xf>
    <xf numFmtId="38" fontId="13" fillId="0" borderId="1" xfId="1" applyFont="1" applyFill="1" applyBorder="1" applyAlignment="1">
      <alignment vertical="center" shrinkToFit="1"/>
    </xf>
    <xf numFmtId="0" fontId="14" fillId="0" borderId="11" xfId="0" applyFont="1" applyBorder="1" applyAlignment="1">
      <alignment vertical="center" shrinkToFit="1"/>
    </xf>
    <xf numFmtId="38" fontId="13" fillId="0" borderId="11" xfId="1" applyFont="1" applyFill="1" applyBorder="1">
      <alignment vertical="center"/>
    </xf>
    <xf numFmtId="38" fontId="13" fillId="0" borderId="1" xfId="1" applyFont="1" applyBorder="1" applyAlignment="1" applyProtection="1">
      <alignment vertical="center" shrinkToFit="1"/>
    </xf>
    <xf numFmtId="178" fontId="6" fillId="0" borderId="0" xfId="0" applyNumberFormat="1" applyFont="1">
      <alignment vertical="center"/>
    </xf>
    <xf numFmtId="178" fontId="6" fillId="0" borderId="0" xfId="0" applyNumberFormat="1" applyFont="1" applyAlignment="1">
      <alignment horizontal="right" vertical="center"/>
    </xf>
    <xf numFmtId="0" fontId="0" fillId="0" borderId="0" xfId="0" applyAlignment="1">
      <alignment horizontal="right" vertical="center"/>
    </xf>
    <xf numFmtId="0" fontId="6" fillId="0" borderId="0" xfId="0" applyFont="1">
      <alignment vertical="center"/>
    </xf>
    <xf numFmtId="0" fontId="6" fillId="0" borderId="0" xfId="0" applyFont="1" applyAlignment="1">
      <alignment horizontal="center" vertical="center"/>
    </xf>
    <xf numFmtId="177" fontId="6" fillId="0" borderId="0" xfId="0" applyNumberFormat="1" applyFont="1">
      <alignment vertical="center"/>
    </xf>
    <xf numFmtId="0" fontId="19" fillId="0" borderId="0" xfId="0" applyFont="1">
      <alignment vertical="center"/>
    </xf>
    <xf numFmtId="0" fontId="0" fillId="0" borderId="0" xfId="0" applyAlignment="1">
      <alignment horizontal="center" vertical="center" textRotation="255"/>
    </xf>
    <xf numFmtId="178" fontId="21" fillId="0" borderId="0" xfId="0" applyNumberFormat="1" applyFont="1" applyAlignment="1">
      <alignment horizontal="center" vertical="center" wrapText="1"/>
    </xf>
    <xf numFmtId="0" fontId="22" fillId="0" borderId="0" xfId="0" applyFont="1">
      <alignment vertical="center"/>
    </xf>
    <xf numFmtId="0" fontId="6" fillId="0" borderId="25" xfId="0" applyFont="1" applyBorder="1">
      <alignment vertical="center"/>
    </xf>
    <xf numFmtId="0" fontId="24" fillId="0" borderId="0" xfId="0" applyFont="1" applyAlignment="1">
      <alignment horizontal="right" vertical="center"/>
    </xf>
    <xf numFmtId="0" fontId="24" fillId="0" borderId="0" xfId="0" applyFont="1">
      <alignment vertical="center"/>
    </xf>
    <xf numFmtId="9" fontId="0" fillId="9" borderId="32" xfId="0" applyNumberFormat="1" applyFill="1" applyBorder="1" applyProtection="1">
      <alignment vertical="center"/>
      <protection locked="0"/>
    </xf>
    <xf numFmtId="0" fontId="0" fillId="9" borderId="1" xfId="0" applyFill="1" applyBorder="1" applyProtection="1">
      <alignment vertical="center"/>
      <protection locked="0"/>
    </xf>
    <xf numFmtId="9" fontId="0" fillId="9" borderId="1" xfId="2" applyFont="1" applyFill="1" applyBorder="1" applyProtection="1">
      <alignment vertical="center"/>
      <protection locked="0"/>
    </xf>
    <xf numFmtId="177" fontId="6" fillId="9" borderId="1" xfId="0" applyNumberFormat="1" applyFont="1" applyFill="1" applyBorder="1" applyProtection="1">
      <alignment vertical="center"/>
      <protection locked="0"/>
    </xf>
    <xf numFmtId="180" fontId="0" fillId="9" borderId="1" xfId="0" applyNumberFormat="1" applyFill="1" applyBorder="1" applyProtection="1">
      <alignment vertical="center"/>
      <protection locked="0"/>
    </xf>
    <xf numFmtId="9" fontId="0" fillId="9" borderId="1" xfId="0" applyNumberFormat="1" applyFill="1" applyBorder="1" applyProtection="1">
      <alignment vertical="center"/>
      <protection locked="0"/>
    </xf>
    <xf numFmtId="0" fontId="14" fillId="10" borderId="1" xfId="0" applyFont="1" applyFill="1" applyBorder="1" applyAlignment="1">
      <alignment vertical="center" shrinkToFit="1"/>
    </xf>
    <xf numFmtId="38" fontId="13" fillId="10" borderId="1" xfId="1" applyFont="1" applyFill="1" applyBorder="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23" fillId="0" borderId="0" xfId="0" applyFont="1" applyAlignment="1">
      <alignment vertical="center" wrapText="1"/>
    </xf>
    <xf numFmtId="0" fontId="0" fillId="0" borderId="0" xfId="0" applyAlignment="1">
      <alignment horizontal="left" vertical="center"/>
    </xf>
    <xf numFmtId="0" fontId="6" fillId="0" borderId="9" xfId="0" applyFont="1" applyBorder="1" applyAlignment="1">
      <alignment horizontal="center" vertical="center" shrinkToFit="1"/>
    </xf>
    <xf numFmtId="0" fontId="22" fillId="0" borderId="1" xfId="0" applyFont="1" applyBorder="1" applyAlignment="1">
      <alignment horizontal="center" vertical="center"/>
    </xf>
    <xf numFmtId="1" fontId="0" fillId="0" borderId="0" xfId="0" applyNumberFormat="1" applyAlignment="1">
      <alignment horizontal="center" vertical="center"/>
    </xf>
    <xf numFmtId="177" fontId="0" fillId="0" borderId="1" xfId="0" applyNumberFormat="1" applyBorder="1" applyAlignment="1">
      <alignment horizontal="center" vertical="center"/>
    </xf>
    <xf numFmtId="178" fontId="6" fillId="0" borderId="10" xfId="0" applyNumberFormat="1" applyFont="1" applyBorder="1" applyAlignment="1">
      <alignment horizontal="center" vertical="center"/>
    </xf>
    <xf numFmtId="0" fontId="21" fillId="0" borderId="0" xfId="0" applyFont="1" applyAlignment="1">
      <alignment vertical="center" textRotation="255" readingOrder="1"/>
    </xf>
    <xf numFmtId="0" fontId="0" fillId="0" borderId="1" xfId="0" applyBorder="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0" fontId="0" fillId="0" borderId="12" xfId="0" applyBorder="1" applyAlignment="1">
      <alignment horizontal="center" vertical="center"/>
    </xf>
    <xf numFmtId="38" fontId="6" fillId="0" borderId="35" xfId="1" applyFont="1" applyFill="1" applyBorder="1" applyProtection="1">
      <alignment vertical="center"/>
    </xf>
    <xf numFmtId="38" fontId="0" fillId="0" borderId="35" xfId="1" applyFont="1" applyFill="1" applyBorder="1" applyProtection="1">
      <alignment vertical="center"/>
    </xf>
    <xf numFmtId="38" fontId="0" fillId="0" borderId="36" xfId="1" applyFont="1" applyFill="1" applyBorder="1" applyProtection="1">
      <alignment vertical="center"/>
    </xf>
    <xf numFmtId="0" fontId="0" fillId="0" borderId="0" xfId="0" applyAlignment="1">
      <alignment horizontal="center" vertical="center" shrinkToFit="1"/>
    </xf>
    <xf numFmtId="57" fontId="0" fillId="0" borderId="1" xfId="0" applyNumberFormat="1" applyBorder="1" applyAlignment="1">
      <alignment horizontal="center" vertical="center" shrinkToFit="1"/>
    </xf>
    <xf numFmtId="0" fontId="0" fillId="0" borderId="1" xfId="0" applyBorder="1" applyAlignment="1">
      <alignment horizontal="center" vertical="center" shrinkToFit="1"/>
    </xf>
    <xf numFmtId="38" fontId="0" fillId="0" borderId="12" xfId="1" applyFont="1" applyBorder="1" applyAlignment="1">
      <alignment vertical="center" shrinkToFit="1"/>
    </xf>
    <xf numFmtId="38" fontId="0" fillId="0" borderId="0" xfId="1" applyFont="1" applyAlignment="1">
      <alignment horizontal="center" vertical="center" shrinkToFit="1"/>
    </xf>
    <xf numFmtId="0" fontId="0" fillId="0" borderId="37" xfId="0" applyBorder="1" applyAlignment="1">
      <alignment horizontal="center" vertical="center" shrinkToFit="1"/>
    </xf>
    <xf numFmtId="180" fontId="0" fillId="0" borderId="12" xfId="1" applyNumberFormat="1" applyFont="1" applyBorder="1" applyAlignment="1">
      <alignment horizontal="center" vertical="center" shrinkToFit="1"/>
    </xf>
    <xf numFmtId="180" fontId="0" fillId="0" borderId="0" xfId="0" applyNumberFormat="1" applyAlignment="1">
      <alignment horizontal="center" vertical="center" shrinkToFit="1"/>
    </xf>
    <xf numFmtId="180" fontId="0" fillId="0" borderId="1" xfId="0" applyNumberFormat="1" applyBorder="1" applyAlignment="1">
      <alignment horizontal="center" vertical="center" shrinkToFit="1"/>
    </xf>
    <xf numFmtId="38" fontId="0" fillId="0" borderId="1" xfId="1" applyFont="1" applyBorder="1" applyAlignment="1">
      <alignment horizontal="center" vertical="center" shrinkToFit="1"/>
    </xf>
    <xf numFmtId="180" fontId="0" fillId="7" borderId="1" xfId="0" applyNumberFormat="1" applyFill="1" applyBorder="1" applyAlignment="1">
      <alignment horizontal="center" vertical="center" shrinkToFit="1"/>
    </xf>
    <xf numFmtId="180" fontId="0" fillId="0" borderId="0" xfId="1" applyNumberFormat="1" applyFont="1" applyAlignment="1">
      <alignment horizontal="center" vertical="center" shrinkToFit="1"/>
    </xf>
    <xf numFmtId="38" fontId="6" fillId="0" borderId="35" xfId="1" applyFont="1" applyFill="1" applyBorder="1" applyAlignment="1" applyProtection="1">
      <alignment horizontal="center" vertical="center"/>
    </xf>
    <xf numFmtId="0" fontId="23" fillId="0" borderId="1" xfId="0" applyFont="1" applyBorder="1" applyAlignment="1">
      <alignment horizontal="center" vertical="center"/>
    </xf>
    <xf numFmtId="0" fontId="6" fillId="0" borderId="1" xfId="0" applyFont="1" applyBorder="1" applyAlignment="1">
      <alignment horizontal="center" vertical="center"/>
    </xf>
    <xf numFmtId="9" fontId="6" fillId="0" borderId="1" xfId="2" applyFont="1" applyBorder="1">
      <alignment vertical="center"/>
    </xf>
    <xf numFmtId="0" fontId="23" fillId="0" borderId="9" xfId="0" applyFont="1" applyBorder="1" applyAlignment="1">
      <alignment horizontal="center" vertical="center"/>
    </xf>
    <xf numFmtId="0" fontId="6" fillId="0" borderId="0" xfId="0" applyFont="1" applyAlignment="1">
      <alignment vertical="center" shrinkToFit="1"/>
    </xf>
    <xf numFmtId="0" fontId="6" fillId="0" borderId="0" xfId="0" applyFont="1" applyAlignment="1">
      <alignment horizontal="center" vertical="center" shrinkToFit="1"/>
    </xf>
    <xf numFmtId="177" fontId="6" fillId="0" borderId="1" xfId="0" applyNumberFormat="1" applyFont="1" applyBorder="1" applyAlignment="1">
      <alignment horizontal="center" vertical="center"/>
    </xf>
    <xf numFmtId="0" fontId="6" fillId="9" borderId="10" xfId="0" applyFont="1" applyFill="1" applyBorder="1">
      <alignment vertical="center"/>
    </xf>
    <xf numFmtId="38" fontId="0" fillId="0" borderId="1" xfId="1" applyFont="1" applyBorder="1" applyAlignment="1" applyProtection="1">
      <alignment horizontal="center" vertical="center"/>
    </xf>
    <xf numFmtId="38" fontId="0" fillId="0" borderId="1" xfId="0" applyNumberFormat="1" applyBorder="1" applyAlignment="1">
      <alignment horizontal="center" vertical="center"/>
    </xf>
    <xf numFmtId="9" fontId="24" fillId="0" borderId="1" xfId="0" applyNumberFormat="1" applyFont="1" applyBorder="1" applyAlignment="1">
      <alignment horizontal="right" vertical="center"/>
    </xf>
    <xf numFmtId="38" fontId="0" fillId="0" borderId="1" xfId="0" applyNumberFormat="1" applyBorder="1" applyAlignment="1">
      <alignment horizontal="center" vertical="center" shrinkToFit="1"/>
    </xf>
    <xf numFmtId="178" fontId="0" fillId="0" borderId="1" xfId="0" applyNumberFormat="1" applyBorder="1" applyAlignment="1">
      <alignment horizontal="center" vertical="center"/>
    </xf>
    <xf numFmtId="38" fontId="0" fillId="0" borderId="0" xfId="0" applyNumberFormat="1" applyAlignment="1">
      <alignment horizontal="center" vertical="center"/>
    </xf>
    <xf numFmtId="38" fontId="0" fillId="0" borderId="0" xfId="1" applyFont="1" applyFill="1" applyBorder="1" applyAlignment="1" applyProtection="1">
      <alignment horizontal="center" vertical="center"/>
    </xf>
    <xf numFmtId="0" fontId="0" fillId="7" borderId="1" xfId="0" applyFill="1" applyBorder="1" applyAlignment="1">
      <alignment horizontal="center" vertical="center" shrinkToFit="1"/>
    </xf>
    <xf numFmtId="0" fontId="0" fillId="11" borderId="1" xfId="0" applyFill="1" applyBorder="1" applyAlignment="1">
      <alignment horizontal="center" vertical="center" shrinkToFit="1"/>
    </xf>
    <xf numFmtId="38" fontId="6" fillId="0" borderId="36" xfId="1" applyFont="1" applyFill="1" applyBorder="1" applyAlignment="1" applyProtection="1">
      <alignment horizontal="center" vertical="center"/>
    </xf>
    <xf numFmtId="0" fontId="0" fillId="7" borderId="40" xfId="0" applyFill="1" applyBorder="1" applyAlignment="1">
      <alignment horizontal="center" vertical="center" shrinkToFit="1"/>
    </xf>
    <xf numFmtId="0" fontId="0" fillId="7" borderId="37" xfId="0" applyFill="1" applyBorder="1" applyAlignment="1">
      <alignment horizontal="center" vertical="center" shrinkToFit="1"/>
    </xf>
    <xf numFmtId="0" fontId="0" fillId="11" borderId="37" xfId="0" applyFill="1" applyBorder="1" applyAlignment="1">
      <alignment horizontal="center" vertical="center" shrinkToFit="1"/>
    </xf>
    <xf numFmtId="0" fontId="0" fillId="11" borderId="40" xfId="0" applyFill="1" applyBorder="1" applyAlignment="1">
      <alignment horizontal="center" vertical="center" shrinkToFit="1"/>
    </xf>
    <xf numFmtId="178" fontId="6" fillId="0" borderId="2" xfId="0" applyNumberFormat="1"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38" fontId="0" fillId="9" borderId="1" xfId="1" applyFont="1" applyFill="1" applyBorder="1" applyProtection="1">
      <alignment vertical="center"/>
      <protection locked="0"/>
    </xf>
    <xf numFmtId="38" fontId="6" fillId="0" borderId="1" xfId="1" applyFont="1" applyFill="1" applyBorder="1" applyProtection="1">
      <alignment vertical="center"/>
    </xf>
    <xf numFmtId="181" fontId="0" fillId="9" borderId="1" xfId="0" applyNumberFormat="1" applyFill="1" applyBorder="1" applyProtection="1">
      <alignment vertical="center"/>
      <protection locked="0"/>
    </xf>
    <xf numFmtId="38" fontId="6" fillId="9" borderId="1" xfId="1" applyFont="1" applyFill="1" applyBorder="1" applyAlignment="1" applyProtection="1">
      <alignment vertical="center"/>
    </xf>
    <xf numFmtId="38" fontId="0" fillId="9" borderId="1" xfId="1" applyFont="1" applyFill="1" applyBorder="1" applyAlignment="1" applyProtection="1">
      <alignment vertical="center"/>
    </xf>
    <xf numFmtId="38" fontId="0" fillId="0" borderId="1" xfId="1" applyFont="1" applyFill="1" applyBorder="1" applyAlignment="1" applyProtection="1">
      <alignment vertical="center"/>
    </xf>
    <xf numFmtId="38" fontId="0" fillId="0" borderId="2" xfId="1" applyFont="1" applyFill="1" applyBorder="1" applyAlignment="1" applyProtection="1">
      <alignment vertical="center"/>
    </xf>
    <xf numFmtId="38" fontId="0" fillId="0" borderId="5" xfId="1" applyFont="1" applyFill="1" applyBorder="1" applyAlignment="1" applyProtection="1">
      <alignment vertical="center"/>
    </xf>
    <xf numFmtId="0" fontId="0" fillId="12" borderId="1" xfId="0" applyFill="1" applyBorder="1" applyAlignment="1">
      <alignment horizontal="center" vertical="center"/>
    </xf>
    <xf numFmtId="38" fontId="0" fillId="12" borderId="1" xfId="1" applyFont="1" applyFill="1" applyBorder="1" applyAlignment="1" applyProtection="1">
      <alignment vertical="center"/>
    </xf>
    <xf numFmtId="38" fontId="0" fillId="0" borderId="1" xfId="1" applyFont="1" applyBorder="1" applyProtection="1">
      <alignment vertical="center"/>
    </xf>
    <xf numFmtId="38" fontId="0" fillId="0" borderId="1" xfId="0" applyNumberFormat="1" applyBorder="1">
      <alignment vertical="center"/>
    </xf>
    <xf numFmtId="0" fontId="0" fillId="0" borderId="6" xfId="0" applyBorder="1" applyAlignment="1">
      <alignment horizontal="center" vertical="center"/>
    </xf>
    <xf numFmtId="0" fontId="6" fillId="0" borderId="0" xfId="0" applyFont="1" applyAlignment="1">
      <alignment horizontal="center" vertical="center" wrapText="1"/>
    </xf>
    <xf numFmtId="38" fontId="0" fillId="0" borderId="0" xfId="1" applyFont="1" applyFill="1" applyBorder="1" applyProtection="1">
      <alignment vertical="center"/>
    </xf>
    <xf numFmtId="0" fontId="6" fillId="0" borderId="7" xfId="0" applyFont="1" applyBorder="1" applyAlignment="1">
      <alignment horizontal="center" vertical="center"/>
    </xf>
    <xf numFmtId="38" fontId="6" fillId="0" borderId="30" xfId="1" applyFont="1" applyFill="1" applyBorder="1" applyAlignment="1" applyProtection="1">
      <alignment horizontal="center" vertical="center"/>
    </xf>
    <xf numFmtId="38" fontId="6" fillId="0" borderId="42" xfId="1" applyFont="1" applyFill="1" applyBorder="1" applyAlignment="1" applyProtection="1">
      <alignment horizontal="center" vertical="center"/>
    </xf>
    <xf numFmtId="38" fontId="6" fillId="9" borderId="1" xfId="1" applyFont="1" applyFill="1" applyBorder="1" applyAlignment="1" applyProtection="1">
      <alignment horizontal="center" vertical="center"/>
    </xf>
    <xf numFmtId="0" fontId="6" fillId="0" borderId="30" xfId="0" applyFont="1" applyBorder="1" applyAlignment="1">
      <alignment horizontal="center" vertical="center"/>
    </xf>
    <xf numFmtId="38" fontId="6" fillId="0" borderId="30" xfId="1" applyFont="1" applyFill="1" applyBorder="1" applyProtection="1">
      <alignment vertical="center"/>
    </xf>
    <xf numFmtId="38" fontId="0" fillId="0" borderId="30" xfId="1" applyFont="1" applyFill="1" applyBorder="1" applyProtection="1">
      <alignment vertical="center"/>
    </xf>
    <xf numFmtId="38" fontId="0" fillId="0" borderId="42" xfId="1" applyFont="1" applyFill="1" applyBorder="1" applyProtection="1">
      <alignment vertical="center"/>
    </xf>
    <xf numFmtId="38" fontId="6" fillId="9" borderId="1" xfId="1" applyFont="1" applyFill="1" applyBorder="1" applyProtection="1">
      <alignment vertical="center"/>
    </xf>
    <xf numFmtId="38" fontId="0" fillId="9" borderId="1" xfId="1" applyFont="1" applyFill="1" applyBorder="1" applyProtection="1">
      <alignment vertical="center"/>
    </xf>
    <xf numFmtId="57" fontId="0" fillId="13" borderId="1" xfId="0" applyNumberFormat="1" applyFill="1" applyBorder="1" applyAlignment="1">
      <alignment horizontal="center" vertical="center" shrinkToFit="1"/>
    </xf>
    <xf numFmtId="0" fontId="0" fillId="13" borderId="1" xfId="0" applyFill="1" applyBorder="1" applyAlignment="1">
      <alignment horizontal="center" vertical="center" shrinkToFit="1"/>
    </xf>
    <xf numFmtId="0" fontId="0" fillId="13" borderId="37" xfId="0" applyFill="1" applyBorder="1" applyAlignment="1">
      <alignment horizontal="center" vertical="center" shrinkToFit="1"/>
    </xf>
    <xf numFmtId="38" fontId="0" fillId="13" borderId="12" xfId="1" applyFont="1" applyFill="1" applyBorder="1" applyAlignment="1">
      <alignment vertical="center" shrinkToFit="1"/>
    </xf>
    <xf numFmtId="180" fontId="0" fillId="13" borderId="12" xfId="1" applyNumberFormat="1" applyFont="1" applyFill="1" applyBorder="1" applyAlignment="1">
      <alignment horizontal="center" vertical="center" shrinkToFit="1"/>
    </xf>
    <xf numFmtId="0" fontId="0" fillId="0" borderId="0" xfId="0" applyAlignment="1">
      <alignment horizontal="left" vertical="center" wrapText="1"/>
    </xf>
    <xf numFmtId="0" fontId="0" fillId="3" borderId="0" xfId="0" applyFill="1" applyAlignment="1">
      <alignment horizontal="left" vertical="center"/>
    </xf>
    <xf numFmtId="0" fontId="10" fillId="0" borderId="0" xfId="0" applyFont="1" applyAlignment="1">
      <alignment horizontal="center" vertical="center"/>
    </xf>
    <xf numFmtId="0" fontId="11" fillId="0" borderId="25" xfId="0" applyFont="1" applyBorder="1" applyAlignment="1">
      <alignment horizontal="left" vertical="center" shrinkToFit="1"/>
    </xf>
    <xf numFmtId="0" fontId="12" fillId="0" borderId="25" xfId="0" applyFont="1" applyBorder="1" applyAlignment="1">
      <alignment horizontal="left" vertical="center" shrinkToFit="1"/>
    </xf>
    <xf numFmtId="0" fontId="12" fillId="3" borderId="25" xfId="0" applyFont="1" applyFill="1" applyBorder="1" applyAlignment="1">
      <alignment horizontal="left" vertical="center" shrinkToFit="1"/>
    </xf>
    <xf numFmtId="0" fontId="0" fillId="0" borderId="0" xfId="0" applyAlignment="1">
      <alignment horizontal="left" vertical="center" shrinkToFit="1"/>
    </xf>
    <xf numFmtId="0" fontId="0" fillId="3" borderId="0" xfId="0" applyFill="1" applyAlignment="1">
      <alignment horizontal="center" vertical="center"/>
    </xf>
    <xf numFmtId="0" fontId="19" fillId="0" borderId="26" xfId="0" applyFont="1" applyBorder="1" applyAlignment="1">
      <alignment horizontal="center" vertical="top" textRotation="255"/>
    </xf>
    <xf numFmtId="0" fontId="19" fillId="0" borderId="30" xfId="0" applyFont="1" applyBorder="1" applyAlignment="1">
      <alignment horizontal="center" vertical="top" textRotation="255"/>
    </xf>
    <xf numFmtId="0" fontId="0" fillId="0" borderId="10" xfId="0" applyBorder="1" applyAlignment="1">
      <alignment horizontal="center" vertical="center" textRotation="255" readingOrder="1"/>
    </xf>
    <xf numFmtId="0" fontId="0" fillId="0" borderId="26" xfId="0" applyBorder="1" applyAlignment="1">
      <alignment horizontal="center" vertical="center" textRotation="255" readingOrder="1"/>
    </xf>
    <xf numFmtId="0" fontId="0" fillId="0" borderId="30" xfId="0" applyBorder="1" applyAlignment="1">
      <alignment horizontal="center" vertical="center" textRotation="255" readingOrder="1"/>
    </xf>
    <xf numFmtId="0" fontId="10" fillId="0" borderId="43" xfId="0" applyFont="1" applyBorder="1" applyAlignment="1">
      <alignment horizontal="center" vertical="center"/>
    </xf>
    <xf numFmtId="0" fontId="26" fillId="0" borderId="0" xfId="0" applyFont="1" applyAlignment="1">
      <alignment vertical="center" wrapText="1" shrinkToFit="1"/>
    </xf>
    <xf numFmtId="0" fontId="14" fillId="3" borderId="25" xfId="0" applyFont="1" applyFill="1" applyBorder="1" applyAlignment="1">
      <alignment horizontal="right" vertical="center"/>
    </xf>
    <xf numFmtId="178" fontId="6" fillId="0" borderId="9" xfId="0" applyNumberFormat="1" applyFont="1" applyBorder="1" applyAlignment="1">
      <alignment horizontal="center" vertical="center" shrinkToFit="1"/>
    </xf>
    <xf numFmtId="178" fontId="6" fillId="0" borderId="12" xfId="0" applyNumberFormat="1" applyFont="1" applyBorder="1" applyAlignment="1">
      <alignment horizontal="center" vertical="center" shrinkToFit="1"/>
    </xf>
    <xf numFmtId="0" fontId="0" fillId="0" borderId="1" xfId="0" applyBorder="1" applyAlignment="1">
      <alignment horizontal="center" vertical="center"/>
    </xf>
    <xf numFmtId="178" fontId="6" fillId="0" borderId="2"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7" xfId="0" applyNumberFormat="1" applyFont="1" applyBorder="1" applyAlignment="1">
      <alignment horizontal="center" vertical="center" wrapText="1"/>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41" xfId="0" applyFont="1" applyBorder="1" applyAlignment="1">
      <alignment horizontal="center" vertical="center" wrapText="1"/>
    </xf>
    <xf numFmtId="0" fontId="23" fillId="0" borderId="39" xfId="0" applyFont="1" applyBorder="1" applyAlignment="1">
      <alignment horizontal="center" vertical="center"/>
    </xf>
    <xf numFmtId="0" fontId="22" fillId="0" borderId="1"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177" fontId="0" fillId="0" borderId="9" xfId="0" applyNumberFormat="1" applyBorder="1" applyAlignment="1">
      <alignment horizontal="center" vertical="center"/>
    </xf>
    <xf numFmtId="177" fontId="0" fillId="0" borderId="12" xfId="0" applyNumberFormat="1" applyBorder="1" applyAlignment="1">
      <alignment horizontal="center" vertical="center"/>
    </xf>
    <xf numFmtId="177" fontId="0" fillId="0" borderId="11" xfId="0" applyNumberForma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0" borderId="38"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textRotation="255"/>
    </xf>
    <xf numFmtId="0" fontId="0" fillId="0" borderId="1" xfId="0" applyBorder="1" applyAlignment="1">
      <alignment horizontal="center" vertical="center" shrinkToFit="1"/>
    </xf>
    <xf numFmtId="0" fontId="0" fillId="7" borderId="1" xfId="0" applyFill="1" applyBorder="1" applyAlignment="1">
      <alignment horizontal="center" vertical="center" shrinkToFit="1"/>
    </xf>
    <xf numFmtId="0" fontId="0" fillId="11" borderId="1" xfId="0" applyFill="1" applyBorder="1" applyAlignment="1">
      <alignment horizontal="center" vertical="center" shrinkToFit="1"/>
    </xf>
    <xf numFmtId="0" fontId="0" fillId="13" borderId="1" xfId="0" applyFill="1" applyBorder="1" applyAlignment="1">
      <alignment horizontal="center" vertical="center" shrinkToFit="1"/>
    </xf>
    <xf numFmtId="180" fontId="0" fillId="0" borderId="1" xfId="0" applyNumberFormat="1" applyBorder="1" applyAlignment="1">
      <alignment horizontal="center" vertical="center" shrinkToFit="1"/>
    </xf>
    <xf numFmtId="0" fontId="8" fillId="0" borderId="25" xfId="0" applyFont="1" applyBorder="1" applyAlignment="1">
      <alignment horizontal="left" vertical="center" shrinkToFit="1"/>
    </xf>
    <xf numFmtId="0" fontId="8" fillId="3" borderId="25" xfId="0" applyFont="1" applyFill="1" applyBorder="1" applyAlignment="1">
      <alignment horizontal="left" vertical="center" shrinkToFit="1"/>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6" fillId="0" borderId="7" xfId="0" applyFont="1" applyBorder="1" applyAlignment="1">
      <alignment horizontal="left" vertical="center" wrapText="1"/>
    </xf>
    <xf numFmtId="0" fontId="0" fillId="0" borderId="25" xfId="0" applyBorder="1" applyAlignment="1">
      <alignment horizontal="left" vertical="center"/>
    </xf>
    <xf numFmtId="0" fontId="0" fillId="0" borderId="8" xfId="0"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2" fillId="0" borderId="1" xfId="0" applyFont="1" applyBorder="1" applyAlignment="1">
      <alignment horizontal="center" vertical="center" wrapText="1"/>
    </xf>
  </cellXfs>
  <cellStyles count="7">
    <cellStyle name="パーセント" xfId="2" builtinId="5"/>
    <cellStyle name="パーセント 2" xfId="3" xr:uid="{1BA13208-408F-4E21-9AF2-7C45DDC3B78A}"/>
    <cellStyle name="桁区切り" xfId="1" builtinId="6"/>
    <cellStyle name="桁区切り 2" xfId="4" xr:uid="{7BB20C9E-A6F0-42EE-999C-382BF9393186}"/>
    <cellStyle name="標準" xfId="0" builtinId="0"/>
    <cellStyle name="標準 2" xfId="5" xr:uid="{061DF404-EF99-4BA1-9E82-4AA6437D719E}"/>
    <cellStyle name="標準 3" xfId="6" xr:uid="{C50C7F10-5CB8-4F1B-94CF-AAB76F2A17EC}"/>
  </cellStyles>
  <dxfs count="2">
    <dxf>
      <fill>
        <patternFill>
          <bgColor rgb="FFFFFF00"/>
        </patternFill>
      </fill>
    </dxf>
    <dxf>
      <fill>
        <patternFill>
          <bgColor rgb="FFFFFF00"/>
        </patternFill>
      </fill>
    </dxf>
  </dxfs>
  <tableStyles count="0" defaultTableStyle="TableStyleMedium2" defaultPivotStyle="PivotStyleLight16"/>
  <colors>
    <mruColors>
      <color rgb="FFFFFF66"/>
      <color rgb="FFFFF2CC"/>
      <color rgb="FFCCFF99"/>
      <color rgb="FFE8F5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A1FCC42-1E6A-44FD-987A-48007E391BD6}" type="doc">
      <dgm:prSet loTypeId="urn:microsoft.com/office/officeart/2005/8/layout/cycle7" loCatId="cycle" qsTypeId="urn:microsoft.com/office/officeart/2005/8/quickstyle/simple1" qsCatId="simple" csTypeId="urn:microsoft.com/office/officeart/2005/8/colors/accent1_2" csCatId="accent1" phldr="1"/>
      <dgm:spPr/>
      <dgm:t>
        <a:bodyPr/>
        <a:lstStyle/>
        <a:p>
          <a:endParaRPr kumimoji="1" lang="ja-JP" altLang="en-US"/>
        </a:p>
      </dgm:t>
    </dgm:pt>
    <dgm:pt modelId="{E6A51CA9-9526-438A-95A4-B4EEA7BDD0FC}">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信用保証協会</a:t>
          </a:r>
        </a:p>
      </dgm:t>
    </dgm:pt>
    <dgm:pt modelId="{1F02A2AD-AFBF-47E5-937D-EDCEF4C6456A}" type="sibTrans" cxnId="{7A359F39-C41A-4B8A-A60A-30F8298E84D7}">
      <dgm:prSet/>
      <dgm:spPr/>
      <dgm:t>
        <a:bodyPr/>
        <a:lstStyle/>
        <a:p>
          <a:endParaRPr kumimoji="1" lang="ja-JP" altLang="en-US"/>
        </a:p>
      </dgm:t>
    </dgm:pt>
    <dgm:pt modelId="{7DDA7E9E-E85F-442E-AF67-E49433E673A2}" type="parTrans" cxnId="{7A359F39-C41A-4B8A-A60A-30F8298E84D7}">
      <dgm:prSet/>
      <dgm:spPr/>
      <dgm:t>
        <a:bodyPr/>
        <a:lstStyle/>
        <a:p>
          <a:endParaRPr kumimoji="1" lang="ja-JP" altLang="en-US"/>
        </a:p>
      </dgm:t>
    </dgm:pt>
    <dgm:pt modelId="{A9BFBC4A-09CD-4DD0-9B01-78E2B27072F6}">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中小企業診断士</a:t>
          </a:r>
        </a:p>
      </dgm:t>
    </dgm:pt>
    <dgm:pt modelId="{0A4C09AF-6380-495C-975A-E12B255B0465}" type="sibTrans" cxnId="{8D7BFD59-988D-45B1-9140-73AA75F860CD}">
      <dgm:prSet/>
      <dgm:spPr/>
      <dgm:t>
        <a:bodyPr/>
        <a:lstStyle/>
        <a:p>
          <a:endParaRPr kumimoji="1" lang="ja-JP" altLang="en-US"/>
        </a:p>
      </dgm:t>
    </dgm:pt>
    <dgm:pt modelId="{A6A52B93-ABA6-4D52-B7CD-5CF6ACC83128}" type="parTrans" cxnId="{8D7BFD59-988D-45B1-9140-73AA75F860CD}">
      <dgm:prSet/>
      <dgm:spPr/>
      <dgm:t>
        <a:bodyPr/>
        <a:lstStyle/>
        <a:p>
          <a:endParaRPr kumimoji="1" lang="ja-JP" altLang="en-US"/>
        </a:p>
      </dgm:t>
    </dgm:pt>
    <dgm:pt modelId="{EDC8F0F6-DA3B-4506-B75D-CFF6B37CB86F}">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中小企業者</a:t>
          </a:r>
        </a:p>
      </dgm:t>
    </dgm:pt>
    <dgm:pt modelId="{D469D994-0E09-4E6E-996E-BFB1D93CA1AA}" type="sibTrans" cxnId="{5DFF85D1-D644-4490-A953-914E1359F14B}">
      <dgm:prSet/>
      <dgm:spPr/>
      <dgm:t>
        <a:bodyPr/>
        <a:lstStyle/>
        <a:p>
          <a:endParaRPr kumimoji="1" lang="ja-JP" altLang="en-US"/>
        </a:p>
      </dgm:t>
    </dgm:pt>
    <dgm:pt modelId="{61956397-3513-4F4A-AAD6-B8F1861D43B8}" type="parTrans" cxnId="{5DFF85D1-D644-4490-A953-914E1359F14B}">
      <dgm:prSet/>
      <dgm:spPr/>
      <dgm:t>
        <a:bodyPr/>
        <a:lstStyle/>
        <a:p>
          <a:endParaRPr kumimoji="1" lang="ja-JP" altLang="en-US"/>
        </a:p>
      </dgm:t>
    </dgm:pt>
    <dgm:pt modelId="{85C134EB-B1B4-4A88-8A98-2F7464E762EE}" type="pres">
      <dgm:prSet presAssocID="{6A1FCC42-1E6A-44FD-987A-48007E391BD6}" presName="Name0" presStyleCnt="0">
        <dgm:presLayoutVars>
          <dgm:dir/>
          <dgm:resizeHandles val="exact"/>
        </dgm:presLayoutVars>
      </dgm:prSet>
      <dgm:spPr/>
    </dgm:pt>
    <dgm:pt modelId="{C2A0AE77-CC61-4676-979C-D08E3D788CE5}" type="pres">
      <dgm:prSet presAssocID="{EDC8F0F6-DA3B-4506-B75D-CFF6B37CB86F}" presName="node" presStyleLbl="node1" presStyleIdx="0" presStyleCnt="3" custRadScaleRad="94713" custRadScaleInc="2437">
        <dgm:presLayoutVars>
          <dgm:bulletEnabled val="1"/>
        </dgm:presLayoutVars>
      </dgm:prSet>
      <dgm:spPr/>
    </dgm:pt>
    <dgm:pt modelId="{36B9639B-687C-488C-8869-CEE50604DA4A}" type="pres">
      <dgm:prSet presAssocID="{D469D994-0E09-4E6E-996E-BFB1D93CA1AA}" presName="sibTrans" presStyleLbl="sibTrans2D1" presStyleIdx="0" presStyleCnt="3" custAng="10731397"/>
      <dgm:spPr>
        <a:prstGeom prst="rightArrow">
          <a:avLst/>
        </a:prstGeom>
      </dgm:spPr>
    </dgm:pt>
    <dgm:pt modelId="{2B727CEB-5D68-43FA-BDCE-25121A057A7F}" type="pres">
      <dgm:prSet presAssocID="{D469D994-0E09-4E6E-996E-BFB1D93CA1AA}" presName="connectorText" presStyleLbl="sibTrans2D1" presStyleIdx="0" presStyleCnt="3"/>
      <dgm:spPr/>
    </dgm:pt>
    <dgm:pt modelId="{3D1D920A-9F9D-40EA-B212-44FBC0398696}" type="pres">
      <dgm:prSet presAssocID="{A9BFBC4A-09CD-4DD0-9B01-78E2B27072F6}" presName="node" presStyleLbl="node1" presStyleIdx="1" presStyleCnt="3" custRadScaleRad="101036" custRadScaleInc="-20555">
        <dgm:presLayoutVars>
          <dgm:bulletEnabled val="1"/>
        </dgm:presLayoutVars>
      </dgm:prSet>
      <dgm:spPr/>
    </dgm:pt>
    <dgm:pt modelId="{10A86DCC-342A-443C-A8D3-E6E5FAC11259}" type="pres">
      <dgm:prSet presAssocID="{0A4C09AF-6380-495C-975A-E12B255B0465}" presName="sibTrans" presStyleLbl="sibTrans2D1" presStyleIdx="1" presStyleCnt="3"/>
      <dgm:spPr/>
    </dgm:pt>
    <dgm:pt modelId="{7D7C5EC7-E04A-4E1E-87B3-0B8A4B320F33}" type="pres">
      <dgm:prSet presAssocID="{0A4C09AF-6380-495C-975A-E12B255B0465}" presName="connectorText" presStyleLbl="sibTrans2D1" presStyleIdx="1" presStyleCnt="3"/>
      <dgm:spPr/>
    </dgm:pt>
    <dgm:pt modelId="{1BF81F32-F900-4E31-A8CA-3FBC04DB1C2B}" type="pres">
      <dgm:prSet presAssocID="{E6A51CA9-9526-438A-95A4-B4EEA7BDD0FC}" presName="node" presStyleLbl="node1" presStyleIdx="2" presStyleCnt="3" custRadScaleRad="103713" custRadScaleInc="23198">
        <dgm:presLayoutVars>
          <dgm:bulletEnabled val="1"/>
        </dgm:presLayoutVars>
      </dgm:prSet>
      <dgm:spPr/>
    </dgm:pt>
    <dgm:pt modelId="{EAC686BD-CF22-432D-A921-A09D86911C62}" type="pres">
      <dgm:prSet presAssocID="{1F02A2AD-AFBF-47E5-937D-EDCEF4C6456A}" presName="sibTrans" presStyleLbl="sibTrans2D1" presStyleIdx="2" presStyleCnt="3"/>
      <dgm:spPr>
        <a:prstGeom prst="rightArrow">
          <a:avLst/>
        </a:prstGeom>
      </dgm:spPr>
    </dgm:pt>
    <dgm:pt modelId="{4CEBDC98-2BCE-4515-957D-7EE76ECB9F9D}" type="pres">
      <dgm:prSet presAssocID="{1F02A2AD-AFBF-47E5-937D-EDCEF4C6456A}" presName="connectorText" presStyleLbl="sibTrans2D1" presStyleIdx="2" presStyleCnt="3"/>
      <dgm:spPr/>
    </dgm:pt>
  </dgm:ptLst>
  <dgm:cxnLst>
    <dgm:cxn modelId="{21545903-B4D8-42F6-9783-BD2F5C8CBF2A}" type="presOf" srcId="{D469D994-0E09-4E6E-996E-BFB1D93CA1AA}" destId="{36B9639B-687C-488C-8869-CEE50604DA4A}" srcOrd="0" destOrd="0" presId="urn:microsoft.com/office/officeart/2005/8/layout/cycle7"/>
    <dgm:cxn modelId="{748E7506-58A0-4F47-934C-7C057C9C0F85}" type="presOf" srcId="{0A4C09AF-6380-495C-975A-E12B255B0465}" destId="{7D7C5EC7-E04A-4E1E-87B3-0B8A4B320F33}" srcOrd="1" destOrd="0" presId="urn:microsoft.com/office/officeart/2005/8/layout/cycle7"/>
    <dgm:cxn modelId="{5408CD18-54B6-49AC-B89B-4E9FE3733DE0}" type="presOf" srcId="{1F02A2AD-AFBF-47E5-937D-EDCEF4C6456A}" destId="{EAC686BD-CF22-432D-A921-A09D86911C62}" srcOrd="0" destOrd="0" presId="urn:microsoft.com/office/officeart/2005/8/layout/cycle7"/>
    <dgm:cxn modelId="{9639112C-CEE7-4CF5-99BB-E7EFFE7FE443}" type="presOf" srcId="{0A4C09AF-6380-495C-975A-E12B255B0465}" destId="{10A86DCC-342A-443C-A8D3-E6E5FAC11259}" srcOrd="0" destOrd="0" presId="urn:microsoft.com/office/officeart/2005/8/layout/cycle7"/>
    <dgm:cxn modelId="{7A359F39-C41A-4B8A-A60A-30F8298E84D7}" srcId="{6A1FCC42-1E6A-44FD-987A-48007E391BD6}" destId="{E6A51CA9-9526-438A-95A4-B4EEA7BDD0FC}" srcOrd="2" destOrd="0" parTransId="{7DDA7E9E-E85F-442E-AF67-E49433E673A2}" sibTransId="{1F02A2AD-AFBF-47E5-937D-EDCEF4C6456A}"/>
    <dgm:cxn modelId="{72BF745D-B291-4647-BD3B-BE79F92C87F3}" type="presOf" srcId="{E6A51CA9-9526-438A-95A4-B4EEA7BDD0FC}" destId="{1BF81F32-F900-4E31-A8CA-3FBC04DB1C2B}" srcOrd="0" destOrd="0" presId="urn:microsoft.com/office/officeart/2005/8/layout/cycle7"/>
    <dgm:cxn modelId="{8D7BFD59-988D-45B1-9140-73AA75F860CD}" srcId="{6A1FCC42-1E6A-44FD-987A-48007E391BD6}" destId="{A9BFBC4A-09CD-4DD0-9B01-78E2B27072F6}" srcOrd="1" destOrd="0" parTransId="{A6A52B93-ABA6-4D52-B7CD-5CF6ACC83128}" sibTransId="{0A4C09AF-6380-495C-975A-E12B255B0465}"/>
    <dgm:cxn modelId="{0840C67E-208D-44DB-97B3-DC694260FA16}" type="presOf" srcId="{A9BFBC4A-09CD-4DD0-9B01-78E2B27072F6}" destId="{3D1D920A-9F9D-40EA-B212-44FBC0398696}" srcOrd="0" destOrd="0" presId="urn:microsoft.com/office/officeart/2005/8/layout/cycle7"/>
    <dgm:cxn modelId="{C2E8328F-CAA2-4955-B991-2021EF7619AF}" type="presOf" srcId="{6A1FCC42-1E6A-44FD-987A-48007E391BD6}" destId="{85C134EB-B1B4-4A88-8A98-2F7464E762EE}" srcOrd="0" destOrd="0" presId="urn:microsoft.com/office/officeart/2005/8/layout/cycle7"/>
    <dgm:cxn modelId="{7749B4A7-E293-44A7-B8BE-1FC7B32A73CB}" type="presOf" srcId="{1F02A2AD-AFBF-47E5-937D-EDCEF4C6456A}" destId="{4CEBDC98-2BCE-4515-957D-7EE76ECB9F9D}" srcOrd="1" destOrd="0" presId="urn:microsoft.com/office/officeart/2005/8/layout/cycle7"/>
    <dgm:cxn modelId="{8C9967BB-1AFF-44F6-9642-323762CD982E}" type="presOf" srcId="{D469D994-0E09-4E6E-996E-BFB1D93CA1AA}" destId="{2B727CEB-5D68-43FA-BDCE-25121A057A7F}" srcOrd="1" destOrd="0" presId="urn:microsoft.com/office/officeart/2005/8/layout/cycle7"/>
    <dgm:cxn modelId="{B4A8B4CB-9BAC-4CA6-966D-4D461ED230AE}" type="presOf" srcId="{EDC8F0F6-DA3B-4506-B75D-CFF6B37CB86F}" destId="{C2A0AE77-CC61-4676-979C-D08E3D788CE5}" srcOrd="0" destOrd="0" presId="urn:microsoft.com/office/officeart/2005/8/layout/cycle7"/>
    <dgm:cxn modelId="{5DFF85D1-D644-4490-A953-914E1359F14B}" srcId="{6A1FCC42-1E6A-44FD-987A-48007E391BD6}" destId="{EDC8F0F6-DA3B-4506-B75D-CFF6B37CB86F}" srcOrd="0" destOrd="0" parTransId="{61956397-3513-4F4A-AAD6-B8F1861D43B8}" sibTransId="{D469D994-0E09-4E6E-996E-BFB1D93CA1AA}"/>
    <dgm:cxn modelId="{E82BBF6F-D8FF-4FBA-9E41-49F509C5B6EC}" type="presParOf" srcId="{85C134EB-B1B4-4A88-8A98-2F7464E762EE}" destId="{C2A0AE77-CC61-4676-979C-D08E3D788CE5}" srcOrd="0" destOrd="0" presId="urn:microsoft.com/office/officeart/2005/8/layout/cycle7"/>
    <dgm:cxn modelId="{6C6E7C1F-E997-48E7-9D31-AFA7B679E8D7}" type="presParOf" srcId="{85C134EB-B1B4-4A88-8A98-2F7464E762EE}" destId="{36B9639B-687C-488C-8869-CEE50604DA4A}" srcOrd="1" destOrd="0" presId="urn:microsoft.com/office/officeart/2005/8/layout/cycle7"/>
    <dgm:cxn modelId="{A50A7C91-C169-4112-AA4B-27297730DA1B}" type="presParOf" srcId="{36B9639B-687C-488C-8869-CEE50604DA4A}" destId="{2B727CEB-5D68-43FA-BDCE-25121A057A7F}" srcOrd="0" destOrd="0" presId="urn:microsoft.com/office/officeart/2005/8/layout/cycle7"/>
    <dgm:cxn modelId="{017F56A1-7409-4F3B-A5FD-EB2C7E52BEF7}" type="presParOf" srcId="{85C134EB-B1B4-4A88-8A98-2F7464E762EE}" destId="{3D1D920A-9F9D-40EA-B212-44FBC0398696}" srcOrd="2" destOrd="0" presId="urn:microsoft.com/office/officeart/2005/8/layout/cycle7"/>
    <dgm:cxn modelId="{B57E3E8C-47BD-4DDE-9621-5367B376FE79}" type="presParOf" srcId="{85C134EB-B1B4-4A88-8A98-2F7464E762EE}" destId="{10A86DCC-342A-443C-A8D3-E6E5FAC11259}" srcOrd="3" destOrd="0" presId="urn:microsoft.com/office/officeart/2005/8/layout/cycle7"/>
    <dgm:cxn modelId="{30D2D2CE-D71A-48B3-8E92-5CE5B392FDE0}" type="presParOf" srcId="{10A86DCC-342A-443C-A8D3-E6E5FAC11259}" destId="{7D7C5EC7-E04A-4E1E-87B3-0B8A4B320F33}" srcOrd="0" destOrd="0" presId="urn:microsoft.com/office/officeart/2005/8/layout/cycle7"/>
    <dgm:cxn modelId="{A386EECA-7A1D-41BC-9E30-0BE3E7173B8A}" type="presParOf" srcId="{85C134EB-B1B4-4A88-8A98-2F7464E762EE}" destId="{1BF81F32-F900-4E31-A8CA-3FBC04DB1C2B}" srcOrd="4" destOrd="0" presId="urn:microsoft.com/office/officeart/2005/8/layout/cycle7"/>
    <dgm:cxn modelId="{83BB6F27-5C9C-4758-92F1-5EB42F8F2DCB}" type="presParOf" srcId="{85C134EB-B1B4-4A88-8A98-2F7464E762EE}" destId="{EAC686BD-CF22-432D-A921-A09D86911C62}" srcOrd="5" destOrd="0" presId="urn:microsoft.com/office/officeart/2005/8/layout/cycle7"/>
    <dgm:cxn modelId="{A0C34116-5291-4032-9A1D-B0E51B7A9524}" type="presParOf" srcId="{EAC686BD-CF22-432D-A921-A09D86911C62}" destId="{4CEBDC98-2BCE-4515-957D-7EE76ECB9F9D}" srcOrd="0" destOrd="0" presId="urn:microsoft.com/office/officeart/2005/8/layout/cycle7"/>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2A0AE77-CC61-4676-979C-D08E3D788CE5}">
      <dsp:nvSpPr>
        <dsp:cNvPr id="0" name=""/>
        <dsp:cNvSpPr/>
      </dsp:nvSpPr>
      <dsp:spPr>
        <a:xfrm>
          <a:off x="6238901" y="227998"/>
          <a:ext cx="4461182" cy="2230591"/>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中小企業者</a:t>
          </a:r>
        </a:p>
      </dsp:txBody>
      <dsp:txXfrm>
        <a:off x="6304233" y="293330"/>
        <a:ext cx="4330518" cy="2099927"/>
      </dsp:txXfrm>
    </dsp:sp>
    <dsp:sp modelId="{36B9639B-687C-488C-8869-CEE50604DA4A}">
      <dsp:nvSpPr>
        <dsp:cNvPr id="0" name=""/>
        <dsp:cNvSpPr/>
      </dsp:nvSpPr>
      <dsp:spPr>
        <a:xfrm rot="13921922">
          <a:off x="8917321" y="3616984"/>
          <a:ext cx="3093827" cy="780706"/>
        </a:xfrm>
        <a:prstGeom prst="rightArrow">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a:off x="9151533" y="3773125"/>
        <a:ext cx="2625403" cy="468424"/>
      </dsp:txXfrm>
    </dsp:sp>
    <dsp:sp modelId="{3D1D920A-9F9D-40EA-B212-44FBC0398696}">
      <dsp:nvSpPr>
        <dsp:cNvPr id="0" name=""/>
        <dsp:cNvSpPr/>
      </dsp:nvSpPr>
      <dsp:spPr>
        <a:xfrm>
          <a:off x="10228386" y="5556085"/>
          <a:ext cx="4461182" cy="2230591"/>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中小企業診断士</a:t>
          </a:r>
        </a:p>
      </dsp:txBody>
      <dsp:txXfrm>
        <a:off x="10293718" y="5621417"/>
        <a:ext cx="4330518" cy="2099927"/>
      </dsp:txXfrm>
    </dsp:sp>
    <dsp:sp modelId="{10A86DCC-342A-443C-A8D3-E6E5FAC11259}">
      <dsp:nvSpPr>
        <dsp:cNvPr id="0" name=""/>
        <dsp:cNvSpPr/>
      </dsp:nvSpPr>
      <dsp:spPr>
        <a:xfrm rot="10833940">
          <a:off x="6747925" y="6239914"/>
          <a:ext cx="3093827" cy="780706"/>
        </a:xfrm>
        <a:prstGeom prst="lef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rot="10800000">
        <a:off x="6982137" y="6396055"/>
        <a:ext cx="2625403" cy="468424"/>
      </dsp:txXfrm>
    </dsp:sp>
    <dsp:sp modelId="{1BF81F32-F900-4E31-A8CA-3FBC04DB1C2B}">
      <dsp:nvSpPr>
        <dsp:cNvPr id="0" name=""/>
        <dsp:cNvSpPr/>
      </dsp:nvSpPr>
      <dsp:spPr>
        <a:xfrm>
          <a:off x="1900108" y="5473859"/>
          <a:ext cx="4461182" cy="2230591"/>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信用保証協会</a:t>
          </a:r>
        </a:p>
      </dsp:txBody>
      <dsp:txXfrm>
        <a:off x="1965440" y="5539191"/>
        <a:ext cx="4330518" cy="2099927"/>
      </dsp:txXfrm>
    </dsp:sp>
    <dsp:sp modelId="{EAC686BD-CF22-432D-A921-A09D86911C62}">
      <dsp:nvSpPr>
        <dsp:cNvPr id="0" name=""/>
        <dsp:cNvSpPr/>
      </dsp:nvSpPr>
      <dsp:spPr>
        <a:xfrm rot="18575627">
          <a:off x="4753182" y="3575871"/>
          <a:ext cx="3093827" cy="780706"/>
        </a:xfrm>
        <a:prstGeom prst="rightArrow">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a:off x="4987394" y="3732012"/>
        <a:ext cx="2625403" cy="468424"/>
      </dsp:txXfrm>
    </dsp:sp>
  </dsp:spTree>
</dsp:drawing>
</file>

<file path=xl/diagrams/layout1.xml><?xml version="1.0" encoding="utf-8"?>
<dgm:layoutDef xmlns:dgm="http://schemas.openxmlformats.org/drawingml/2006/diagram" xmlns:a="http://schemas.openxmlformats.org/drawingml/2006/main" uniqueId="urn:microsoft.com/office/officeart/2005/8/layout/cycle7">
  <dgm:title val=""/>
  <dgm:desc val=""/>
  <dgm:catLst>
    <dgm:cat type="cycle" pri="6000"/>
  </dgm:catLst>
  <dgm:sampData>
    <dgm:dataModel>
      <dgm:ptLst>
        <dgm:pt modelId="0" type="doc"/>
        <dgm:pt modelId="1">
          <dgm:prSet phldr="1"/>
        </dgm:pt>
        <dgm:pt modelId="2">
          <dgm:prSet phldr="1"/>
        </dgm:pt>
        <dgm:pt modelId="3">
          <dgm:prSet phldr="1"/>
        </dgm:pt>
      </dgm:ptLst>
      <dgm:cxnLst>
        <dgm:cxn modelId="6" srcId="0" destId="1" srcOrd="0" destOrd="0"/>
        <dgm:cxn modelId="7" srcId="0" destId="2" srcOrd="1" destOrd="0"/>
        <dgm:cxn modelId="8" srcId="0" destId="3" srcOrd="2"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func="var" arg="dir" op="equ" val="norm">
        <dgm:alg type="cycle">
          <dgm:param type="stAng" val="0"/>
          <dgm:param type="spanAng" val="360"/>
        </dgm:alg>
      </dgm:if>
      <dgm:else name="Name3">
        <dgm:alg type="cycle">
          <dgm:param type="stAng" val="0"/>
          <dgm:param type="spanAng" val="-360"/>
        </dgm:alg>
      </dgm:else>
    </dgm:choose>
    <dgm:shape xmlns:r="http://schemas.openxmlformats.org/officeDocument/2006/relationships" r:blip="">
      <dgm:adjLst/>
    </dgm:shape>
    <dgm:presOf/>
    <dgm:constrLst>
      <dgm:constr type="diam" refType="w"/>
      <dgm:constr type="w" for="ch" ptType="node" refType="w"/>
      <dgm:constr type="primFontSz" for="ch" ptType="node" op="equ" val="65"/>
      <dgm:constr type="w" for="ch" forName="sibTrans" refType="w" refFor="ch" refPtType="node" op="equ" fact="0.35"/>
      <dgm:constr type="connDist" for="ch" forName="sibTrans" op="equ"/>
      <dgm:constr type="primFontSz" for="des" forName="connectorText" op="equ" val="55"/>
      <dgm:constr type="primFontSz" for="des" forName="connectorText" refType="primFontSz" refFor="ch" refPtType="node" op="lte" fact="0.8"/>
      <dgm:constr type="sibSp" refType="w" refFor="ch" refPtType="node" op="equ" fact="0.65"/>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4">
        <dgm:if name="Name5" axis="par ch" ptType="doc node" func="cnt" op="gt" val="1">
          <dgm:forEach name="sibTransForEach" axis="followSib" ptType="sibTrans" hideLastTrans="0" cnt="1">
            <dgm:layoutNode name="sibTrans">
              <dgm:choose name="Name6">
                <dgm:if name="Name7" axis="par ch" ptType="doc node" func="posEven" op="equ" val="1">
                  <dgm:alg type="conn">
                    <dgm:param type="begPts" val="radial"/>
                    <dgm:param type="endPts" val="radial"/>
                    <dgm:param type="begSty" val="arr"/>
                    <dgm:param type="endSty" val="arr"/>
                  </dgm:alg>
                </dgm:if>
                <dgm:else name="Name8">
                  <dgm:alg type="conn">
                    <dgm:param type="begPts" val="auto"/>
                    <dgm:param type="endPts" val="auto"/>
                    <dgm:param type="begSty" val="arr"/>
                    <dgm:param type="endSty" val="arr"/>
                  </dgm:alg>
                </dgm:else>
              </dgm:choose>
              <dgm:shape xmlns:r="http://schemas.openxmlformats.org/officeDocument/2006/relationships" type="conn" r:blip="">
                <dgm:adjLst/>
              </dgm:shape>
              <dgm:presOf axis="self"/>
              <dgm:constrLst>
                <dgm:constr type="h" refType="w" fact="0.5"/>
                <dgm:constr type="connDist"/>
                <dgm:constr type="begPad" refType="connDist" fact="0.1"/>
                <dgm:constr type="endPad" refType="connDist" fact="0.1"/>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if>
        <dgm:else name="Name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6</xdr:col>
      <xdr:colOff>361950</xdr:colOff>
      <xdr:row>28</xdr:row>
      <xdr:rowOff>190501</xdr:rowOff>
    </xdr:from>
    <xdr:to>
      <xdr:col>10</xdr:col>
      <xdr:colOff>19050</xdr:colOff>
      <xdr:row>30</xdr:row>
      <xdr:rowOff>78441</xdr:rowOff>
    </xdr:to>
    <xdr:sp macro="" textlink="">
      <xdr:nvSpPr>
        <xdr:cNvPr id="2" name="角丸四角形吹き出し 6">
          <a:extLst>
            <a:ext uri="{FF2B5EF4-FFF2-40B4-BE49-F238E27FC236}">
              <a16:creationId xmlns:a16="http://schemas.microsoft.com/office/drawing/2014/main" id="{00000000-0008-0000-0400-000002000000}"/>
            </a:ext>
          </a:extLst>
        </xdr:cNvPr>
        <xdr:cNvSpPr/>
      </xdr:nvSpPr>
      <xdr:spPr>
        <a:xfrm>
          <a:off x="5534025" y="8201026"/>
          <a:ext cx="3086100" cy="364190"/>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400-000003000000}"/>
            </a:ext>
          </a:extLst>
        </xdr:cNvPr>
        <xdr:cNvSpPr/>
      </xdr:nvSpPr>
      <xdr:spPr>
        <a:xfrm>
          <a:off x="11630025" y="495298"/>
          <a:ext cx="24193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447674</xdr:colOff>
      <xdr:row>28</xdr:row>
      <xdr:rowOff>228600</xdr:rowOff>
    </xdr:from>
    <xdr:to>
      <xdr:col>18</xdr:col>
      <xdr:colOff>19049</xdr:colOff>
      <xdr:row>31</xdr:row>
      <xdr:rowOff>152400</xdr:rowOff>
    </xdr:to>
    <xdr:sp macro="" textlink="">
      <xdr:nvSpPr>
        <xdr:cNvPr id="4" name="角丸四角形吹き出し 5">
          <a:extLst>
            <a:ext uri="{FF2B5EF4-FFF2-40B4-BE49-F238E27FC236}">
              <a16:creationId xmlns:a16="http://schemas.microsoft.com/office/drawing/2014/main" id="{00000000-0008-0000-0400-000004000000}"/>
            </a:ext>
          </a:extLst>
        </xdr:cNvPr>
        <xdr:cNvSpPr/>
      </xdr:nvSpPr>
      <xdr:spPr>
        <a:xfrm>
          <a:off x="11772899" y="8239125"/>
          <a:ext cx="3857625"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1</xdr:col>
      <xdr:colOff>266700</xdr:colOff>
      <xdr:row>0</xdr:row>
      <xdr:rowOff>123825</xdr:rowOff>
    </xdr:from>
    <xdr:to>
      <xdr:col>2</xdr:col>
      <xdr:colOff>752475</xdr:colOff>
      <xdr:row>2</xdr:row>
      <xdr:rowOff>123824</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flipH="1">
          <a:off x="666750" y="123825"/>
          <a:ext cx="1828800" cy="628649"/>
        </a:xfrm>
        <a:prstGeom prst="wedgeRoundRectCallout">
          <a:avLst>
            <a:gd name="adj1" fmla="val -27289"/>
            <a:gd name="adj2" fmla="val 9436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2</a:t>
          </a:r>
          <a:r>
            <a:rPr kumimoji="1" lang="ja-JP" altLang="en-US" sz="1000">
              <a:solidFill>
                <a:sysClr val="windowText" lastClr="000000"/>
              </a:solidFill>
            </a:rPr>
            <a:t>ヶ月分の資金繰り実績を入力してください。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6" name="矢印: 右 5">
          <a:extLst>
            <a:ext uri="{FF2B5EF4-FFF2-40B4-BE49-F238E27FC236}">
              <a16:creationId xmlns:a16="http://schemas.microsoft.com/office/drawing/2014/main" id="{00000000-0008-0000-0400-000006000000}"/>
            </a:ext>
          </a:extLst>
        </xdr:cNvPr>
        <xdr:cNvSpPr/>
      </xdr:nvSpPr>
      <xdr:spPr>
        <a:xfrm>
          <a:off x="349567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7" name="矢印: 左 6">
          <a:extLst>
            <a:ext uri="{FF2B5EF4-FFF2-40B4-BE49-F238E27FC236}">
              <a16:creationId xmlns:a16="http://schemas.microsoft.com/office/drawing/2014/main" id="{00000000-0008-0000-0400-000007000000}"/>
            </a:ext>
          </a:extLst>
        </xdr:cNvPr>
        <xdr:cNvSpPr/>
      </xdr:nvSpPr>
      <xdr:spPr>
        <a:xfrm>
          <a:off x="2638425"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662828</xdr:colOff>
      <xdr:row>20</xdr:row>
      <xdr:rowOff>160245</xdr:rowOff>
    </xdr:from>
    <xdr:to>
      <xdr:col>12</xdr:col>
      <xdr:colOff>102533</xdr:colOff>
      <xdr:row>23</xdr:row>
      <xdr:rowOff>70597</xdr:rowOff>
    </xdr:to>
    <xdr:sp macro="" textlink="">
      <xdr:nvSpPr>
        <xdr:cNvPr id="2" name="角丸四角形吹き出し 4">
          <a:extLst>
            <a:ext uri="{FF2B5EF4-FFF2-40B4-BE49-F238E27FC236}">
              <a16:creationId xmlns:a16="http://schemas.microsoft.com/office/drawing/2014/main" id="{00000000-0008-0000-0500-000002000000}"/>
            </a:ext>
          </a:extLst>
        </xdr:cNvPr>
        <xdr:cNvSpPr/>
      </xdr:nvSpPr>
      <xdr:spPr>
        <a:xfrm>
          <a:off x="14312153" y="4922745"/>
          <a:ext cx="1392330" cy="624727"/>
        </a:xfrm>
        <a:prstGeom prst="wedgeRoundRectCallout">
          <a:avLst>
            <a:gd name="adj1" fmla="val -60175"/>
            <a:gd name="adj2" fmla="val -107316"/>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ヶ月前月初現預金残高</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295275</xdr:colOff>
      <xdr:row>31</xdr:row>
      <xdr:rowOff>190501</xdr:rowOff>
    </xdr:from>
    <xdr:to>
      <xdr:col>9</xdr:col>
      <xdr:colOff>809625</xdr:colOff>
      <xdr:row>33</xdr:row>
      <xdr:rowOff>78441</xdr:rowOff>
    </xdr:to>
    <xdr:sp macro="" textlink="">
      <xdr:nvSpPr>
        <xdr:cNvPr id="2" name="角丸四角形吹き出し 6">
          <a:extLst>
            <a:ext uri="{FF2B5EF4-FFF2-40B4-BE49-F238E27FC236}">
              <a16:creationId xmlns:a16="http://schemas.microsoft.com/office/drawing/2014/main" id="{00000000-0008-0000-0800-000002000000}"/>
            </a:ext>
          </a:extLst>
        </xdr:cNvPr>
        <xdr:cNvSpPr/>
      </xdr:nvSpPr>
      <xdr:spPr>
        <a:xfrm>
          <a:off x="5467350" y="9058276"/>
          <a:ext cx="3086100" cy="364190"/>
        </a:xfrm>
        <a:prstGeom prst="wedgeRoundRectCallout">
          <a:avLst>
            <a:gd name="adj1" fmla="val 31582"/>
            <a:gd name="adj2" fmla="val -110398"/>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800-000003000000}"/>
            </a:ext>
          </a:extLst>
        </xdr:cNvPr>
        <xdr:cNvSpPr/>
      </xdr:nvSpPr>
      <xdr:spPr>
        <a:xfrm>
          <a:off x="12639675" y="495298"/>
          <a:ext cx="2990850" cy="600077"/>
        </a:xfrm>
        <a:prstGeom prst="wedgeRoundRectCallout">
          <a:avLst>
            <a:gd name="adj1" fmla="val 30585"/>
            <a:gd name="adj2" fmla="val -83413"/>
            <a:gd name="adj3" fmla="val 16667"/>
          </a:avLst>
        </a:prstGeom>
        <a:solidFill>
          <a:srgbClr val="FF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457199</xdr:colOff>
      <xdr:row>31</xdr:row>
      <xdr:rowOff>219075</xdr:rowOff>
    </xdr:from>
    <xdr:to>
      <xdr:col>18</xdr:col>
      <xdr:colOff>28574</xdr:colOff>
      <xdr:row>34</xdr:row>
      <xdr:rowOff>142875</xdr:rowOff>
    </xdr:to>
    <xdr:sp macro="" textlink="">
      <xdr:nvSpPr>
        <xdr:cNvPr id="4" name="角丸四角形吹き出し 5">
          <a:extLst>
            <a:ext uri="{FF2B5EF4-FFF2-40B4-BE49-F238E27FC236}">
              <a16:creationId xmlns:a16="http://schemas.microsoft.com/office/drawing/2014/main" id="{00000000-0008-0000-0800-000004000000}"/>
            </a:ext>
          </a:extLst>
        </xdr:cNvPr>
        <xdr:cNvSpPr/>
      </xdr:nvSpPr>
      <xdr:spPr>
        <a:xfrm>
          <a:off x="11782424" y="9086850"/>
          <a:ext cx="3857625" cy="638175"/>
        </a:xfrm>
        <a:prstGeom prst="wedgeRoundRectCallout">
          <a:avLst>
            <a:gd name="adj1" fmla="val 33519"/>
            <a:gd name="adj2" fmla="val -87367"/>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6" name="矢印: 右 5">
          <a:extLst>
            <a:ext uri="{FF2B5EF4-FFF2-40B4-BE49-F238E27FC236}">
              <a16:creationId xmlns:a16="http://schemas.microsoft.com/office/drawing/2014/main" id="{00000000-0008-0000-0800-000006000000}"/>
            </a:ext>
          </a:extLst>
        </xdr:cNvPr>
        <xdr:cNvSpPr/>
      </xdr:nvSpPr>
      <xdr:spPr>
        <a:xfrm>
          <a:off x="351472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7" name="矢印: 左 6">
          <a:extLst>
            <a:ext uri="{FF2B5EF4-FFF2-40B4-BE49-F238E27FC236}">
              <a16:creationId xmlns:a16="http://schemas.microsoft.com/office/drawing/2014/main" id="{00000000-0008-0000-0800-000007000000}"/>
            </a:ext>
          </a:extLst>
        </xdr:cNvPr>
        <xdr:cNvSpPr/>
      </xdr:nvSpPr>
      <xdr:spPr>
        <a:xfrm>
          <a:off x="2647950"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423334</xdr:colOff>
      <xdr:row>58</xdr:row>
      <xdr:rowOff>93134</xdr:rowOff>
    </xdr:from>
    <xdr:to>
      <xdr:col>11</xdr:col>
      <xdr:colOff>719667</xdr:colOff>
      <xdr:row>58</xdr:row>
      <xdr:rowOff>194734</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12403667" y="12556067"/>
          <a:ext cx="296333" cy="101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682414</xdr:colOff>
      <xdr:row>60</xdr:row>
      <xdr:rowOff>31326</xdr:rowOff>
    </xdr:from>
    <xdr:to>
      <xdr:col>14</xdr:col>
      <xdr:colOff>237067</xdr:colOff>
      <xdr:row>63</xdr:row>
      <xdr:rowOff>183725</xdr:rowOff>
    </xdr:to>
    <xdr:sp macro="" textlink="">
      <xdr:nvSpPr>
        <xdr:cNvPr id="4" name="角丸四角形吹き出し 6">
          <a:extLst>
            <a:ext uri="{FF2B5EF4-FFF2-40B4-BE49-F238E27FC236}">
              <a16:creationId xmlns:a16="http://schemas.microsoft.com/office/drawing/2014/main" id="{00000000-0008-0000-0900-000004000000}"/>
            </a:ext>
          </a:extLst>
        </xdr:cNvPr>
        <xdr:cNvSpPr/>
      </xdr:nvSpPr>
      <xdr:spPr>
        <a:xfrm>
          <a:off x="12662747" y="12909126"/>
          <a:ext cx="1823720" cy="838199"/>
        </a:xfrm>
        <a:prstGeom prst="wedgeRoundRectCallout">
          <a:avLst>
            <a:gd name="adj1" fmla="val -4024"/>
            <a:gd name="adj2" fmla="val -71351"/>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水道光熱費・旅費交通費・接待交際費・通信費・賃借料・一部製造経費等</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4</xdr:col>
      <xdr:colOff>9525</xdr:colOff>
      <xdr:row>21</xdr:row>
      <xdr:rowOff>47625</xdr:rowOff>
    </xdr:from>
    <xdr:to>
      <xdr:col>5</xdr:col>
      <xdr:colOff>1</xdr:colOff>
      <xdr:row>22</xdr:row>
      <xdr:rowOff>182221</xdr:rowOff>
    </xdr:to>
    <xdr:sp macro="" textlink="">
      <xdr:nvSpPr>
        <xdr:cNvPr id="2" name="矢印: 左 1">
          <a:extLst>
            <a:ext uri="{FF2B5EF4-FFF2-40B4-BE49-F238E27FC236}">
              <a16:creationId xmlns:a16="http://schemas.microsoft.com/office/drawing/2014/main" id="{00000000-0008-0000-0900-000002000000}"/>
            </a:ext>
          </a:extLst>
        </xdr:cNvPr>
        <xdr:cNvSpPr/>
      </xdr:nvSpPr>
      <xdr:spPr>
        <a:xfrm>
          <a:off x="9563100" y="3143250"/>
          <a:ext cx="676276" cy="37272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30</xdr:row>
      <xdr:rowOff>47625</xdr:rowOff>
    </xdr:from>
    <xdr:to>
      <xdr:col>5</xdr:col>
      <xdr:colOff>1</xdr:colOff>
      <xdr:row>31</xdr:row>
      <xdr:rowOff>182221</xdr:rowOff>
    </xdr:to>
    <xdr:sp macro="" textlink="">
      <xdr:nvSpPr>
        <xdr:cNvPr id="6" name="矢印: 左 5">
          <a:extLst>
            <a:ext uri="{FF2B5EF4-FFF2-40B4-BE49-F238E27FC236}">
              <a16:creationId xmlns:a16="http://schemas.microsoft.com/office/drawing/2014/main" id="{00000000-0008-0000-0900-000006000000}"/>
            </a:ext>
          </a:extLst>
        </xdr:cNvPr>
        <xdr:cNvSpPr/>
      </xdr:nvSpPr>
      <xdr:spPr>
        <a:xfrm>
          <a:off x="10248900" y="4810125"/>
          <a:ext cx="638176" cy="37272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76201</xdr:colOff>
      <xdr:row>44</xdr:row>
      <xdr:rowOff>237065</xdr:rowOff>
    </xdr:from>
    <xdr:to>
      <xdr:col>11</xdr:col>
      <xdr:colOff>524937</xdr:colOff>
      <xdr:row>58</xdr:row>
      <xdr:rowOff>186267</xdr:rowOff>
    </xdr:to>
    <xdr:sp macro="" textlink="">
      <xdr:nvSpPr>
        <xdr:cNvPr id="8" name="矢印: 上向き折線 7">
          <a:extLst>
            <a:ext uri="{FF2B5EF4-FFF2-40B4-BE49-F238E27FC236}">
              <a16:creationId xmlns:a16="http://schemas.microsoft.com/office/drawing/2014/main" id="{00000000-0008-0000-0900-000008000000}"/>
            </a:ext>
          </a:extLst>
        </xdr:cNvPr>
        <xdr:cNvSpPr/>
      </xdr:nvSpPr>
      <xdr:spPr>
        <a:xfrm rot="16200000">
          <a:off x="10816168" y="10960098"/>
          <a:ext cx="2929468" cy="448736"/>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270934</xdr:colOff>
      <xdr:row>7</xdr:row>
      <xdr:rowOff>220134</xdr:rowOff>
    </xdr:from>
    <xdr:to>
      <xdr:col>12</xdr:col>
      <xdr:colOff>595842</xdr:colOff>
      <xdr:row>10</xdr:row>
      <xdr:rowOff>153645</xdr:rowOff>
    </xdr:to>
    <xdr:sp macro="" textlink="">
      <xdr:nvSpPr>
        <xdr:cNvPr id="9" name="矢印: 左 8">
          <a:extLst>
            <a:ext uri="{FF2B5EF4-FFF2-40B4-BE49-F238E27FC236}">
              <a16:creationId xmlns:a16="http://schemas.microsoft.com/office/drawing/2014/main" id="{00000000-0008-0000-0900-000009000000}"/>
            </a:ext>
          </a:extLst>
        </xdr:cNvPr>
        <xdr:cNvSpPr/>
      </xdr:nvSpPr>
      <xdr:spPr>
        <a:xfrm rot="10800000">
          <a:off x="12251267" y="1371601"/>
          <a:ext cx="1053042" cy="64471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50800</xdr:colOff>
      <xdr:row>46</xdr:row>
      <xdr:rowOff>8472</xdr:rowOff>
    </xdr:from>
    <xdr:to>
      <xdr:col>16</xdr:col>
      <xdr:colOff>541868</xdr:colOff>
      <xdr:row>58</xdr:row>
      <xdr:rowOff>33867</xdr:rowOff>
    </xdr:to>
    <xdr:sp macro="" textlink="">
      <xdr:nvSpPr>
        <xdr:cNvPr id="11" name="矢印: 上向き折線 10">
          <a:extLst>
            <a:ext uri="{FF2B5EF4-FFF2-40B4-BE49-F238E27FC236}">
              <a16:creationId xmlns:a16="http://schemas.microsoft.com/office/drawing/2014/main" id="{00000000-0008-0000-0900-00000B000000}"/>
            </a:ext>
          </a:extLst>
        </xdr:cNvPr>
        <xdr:cNvSpPr/>
      </xdr:nvSpPr>
      <xdr:spPr>
        <a:xfrm rot="16200000" flipH="1">
          <a:off x="14355236" y="10697636"/>
          <a:ext cx="2768595" cy="1286934"/>
        </a:xfrm>
        <a:prstGeom prst="bentUpArrow">
          <a:avLst>
            <a:gd name="adj1" fmla="val 11959"/>
            <a:gd name="adj2" fmla="val 11688"/>
            <a:gd name="adj3" fmla="val 1908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28</xdr:row>
      <xdr:rowOff>190501</xdr:rowOff>
    </xdr:from>
    <xdr:to>
      <xdr:col>9</xdr:col>
      <xdr:colOff>590550</xdr:colOff>
      <xdr:row>30</xdr:row>
      <xdr:rowOff>78441</xdr:rowOff>
    </xdr:to>
    <xdr:sp macro="" textlink="">
      <xdr:nvSpPr>
        <xdr:cNvPr id="2" name="角丸四角形吹き出し 6">
          <a:extLst>
            <a:ext uri="{FF2B5EF4-FFF2-40B4-BE49-F238E27FC236}">
              <a16:creationId xmlns:a16="http://schemas.microsoft.com/office/drawing/2014/main" id="{00000000-0008-0000-0D00-000002000000}"/>
            </a:ext>
          </a:extLst>
        </xdr:cNvPr>
        <xdr:cNvSpPr/>
      </xdr:nvSpPr>
      <xdr:spPr>
        <a:xfrm>
          <a:off x="5076825" y="8201026"/>
          <a:ext cx="2657475" cy="364190"/>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D00-000003000000}"/>
            </a:ext>
          </a:extLst>
        </xdr:cNvPr>
        <xdr:cNvSpPr/>
      </xdr:nvSpPr>
      <xdr:spPr>
        <a:xfrm>
          <a:off x="11630025" y="495298"/>
          <a:ext cx="24193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180974</xdr:colOff>
      <xdr:row>28</xdr:row>
      <xdr:rowOff>219075</xdr:rowOff>
    </xdr:from>
    <xdr:to>
      <xdr:col>17</xdr:col>
      <xdr:colOff>609599</xdr:colOff>
      <xdr:row>31</xdr:row>
      <xdr:rowOff>142875</xdr:rowOff>
    </xdr:to>
    <xdr:sp macro="" textlink="">
      <xdr:nvSpPr>
        <xdr:cNvPr id="4" name="角丸四角形吹き出し 5">
          <a:extLst>
            <a:ext uri="{FF2B5EF4-FFF2-40B4-BE49-F238E27FC236}">
              <a16:creationId xmlns:a16="http://schemas.microsoft.com/office/drawing/2014/main" id="{00000000-0008-0000-0D00-000004000000}"/>
            </a:ext>
          </a:extLst>
        </xdr:cNvPr>
        <xdr:cNvSpPr/>
      </xdr:nvSpPr>
      <xdr:spPr>
        <a:xfrm>
          <a:off x="10591799" y="8229600"/>
          <a:ext cx="3333750"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1</xdr:col>
      <xdr:colOff>266700</xdr:colOff>
      <xdr:row>0</xdr:row>
      <xdr:rowOff>123825</xdr:rowOff>
    </xdr:from>
    <xdr:to>
      <xdr:col>2</xdr:col>
      <xdr:colOff>752475</xdr:colOff>
      <xdr:row>2</xdr:row>
      <xdr:rowOff>123824</xdr:rowOff>
    </xdr:to>
    <xdr:sp macro="" textlink="">
      <xdr:nvSpPr>
        <xdr:cNvPr id="5" name="角丸四角形吹き出し 4">
          <a:extLst>
            <a:ext uri="{FF2B5EF4-FFF2-40B4-BE49-F238E27FC236}">
              <a16:creationId xmlns:a16="http://schemas.microsoft.com/office/drawing/2014/main" id="{00000000-0008-0000-0D00-000005000000}"/>
            </a:ext>
          </a:extLst>
        </xdr:cNvPr>
        <xdr:cNvSpPr/>
      </xdr:nvSpPr>
      <xdr:spPr>
        <a:xfrm flipH="1">
          <a:off x="666750" y="123825"/>
          <a:ext cx="1828800" cy="628649"/>
        </a:xfrm>
        <a:prstGeom prst="wedgeRoundRectCallout">
          <a:avLst>
            <a:gd name="adj1" fmla="val -27289"/>
            <a:gd name="adj2" fmla="val 9436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2</a:t>
          </a:r>
          <a:r>
            <a:rPr kumimoji="1" lang="ja-JP" altLang="en-US" sz="1000">
              <a:solidFill>
                <a:sysClr val="windowText" lastClr="000000"/>
              </a:solidFill>
            </a:rPr>
            <a:t>ヶ月分の資金繰り実績を入力してください。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6" name="矢印: 右 5">
          <a:extLst>
            <a:ext uri="{FF2B5EF4-FFF2-40B4-BE49-F238E27FC236}">
              <a16:creationId xmlns:a16="http://schemas.microsoft.com/office/drawing/2014/main" id="{00000000-0008-0000-0D00-000006000000}"/>
            </a:ext>
          </a:extLst>
        </xdr:cNvPr>
        <xdr:cNvSpPr/>
      </xdr:nvSpPr>
      <xdr:spPr>
        <a:xfrm>
          <a:off x="349567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7" name="矢印: 左 6">
          <a:extLst>
            <a:ext uri="{FF2B5EF4-FFF2-40B4-BE49-F238E27FC236}">
              <a16:creationId xmlns:a16="http://schemas.microsoft.com/office/drawing/2014/main" id="{00000000-0008-0000-0D00-000007000000}"/>
            </a:ext>
          </a:extLst>
        </xdr:cNvPr>
        <xdr:cNvSpPr/>
      </xdr:nvSpPr>
      <xdr:spPr>
        <a:xfrm>
          <a:off x="2638425"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323850</xdr:colOff>
      <xdr:row>1</xdr:row>
      <xdr:rowOff>133350</xdr:rowOff>
    </xdr:from>
    <xdr:to>
      <xdr:col>16</xdr:col>
      <xdr:colOff>0</xdr:colOff>
      <xdr:row>3</xdr:row>
      <xdr:rowOff>257177</xdr:rowOff>
    </xdr:to>
    <xdr:sp macro="" textlink="">
      <xdr:nvSpPr>
        <xdr:cNvPr id="2" name="角丸四角形吹き出し 3">
          <a:extLst>
            <a:ext uri="{FF2B5EF4-FFF2-40B4-BE49-F238E27FC236}">
              <a16:creationId xmlns:a16="http://schemas.microsoft.com/office/drawing/2014/main" id="{00000000-0008-0000-1000-000002000000}"/>
            </a:ext>
          </a:extLst>
        </xdr:cNvPr>
        <xdr:cNvSpPr/>
      </xdr:nvSpPr>
      <xdr:spPr>
        <a:xfrm>
          <a:off x="9791700" y="523875"/>
          <a:ext cx="25336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4</xdr:col>
      <xdr:colOff>47625</xdr:colOff>
      <xdr:row>27</xdr:row>
      <xdr:rowOff>209550</xdr:rowOff>
    </xdr:from>
    <xdr:to>
      <xdr:col>7</xdr:col>
      <xdr:colOff>647700</xdr:colOff>
      <xdr:row>29</xdr:row>
      <xdr:rowOff>85725</xdr:rowOff>
    </xdr:to>
    <xdr:sp macro="" textlink="">
      <xdr:nvSpPr>
        <xdr:cNvPr id="3" name="角丸四角形吹き出し 4">
          <a:extLst>
            <a:ext uri="{FF2B5EF4-FFF2-40B4-BE49-F238E27FC236}">
              <a16:creationId xmlns:a16="http://schemas.microsoft.com/office/drawing/2014/main" id="{00000000-0008-0000-1000-000003000000}"/>
            </a:ext>
          </a:extLst>
        </xdr:cNvPr>
        <xdr:cNvSpPr/>
      </xdr:nvSpPr>
      <xdr:spPr>
        <a:xfrm>
          <a:off x="3390900" y="7972425"/>
          <a:ext cx="2743200" cy="352425"/>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11</xdr:col>
      <xdr:colOff>104775</xdr:colOff>
      <xdr:row>27</xdr:row>
      <xdr:rowOff>219075</xdr:rowOff>
    </xdr:from>
    <xdr:to>
      <xdr:col>15</xdr:col>
      <xdr:colOff>647700</xdr:colOff>
      <xdr:row>30</xdr:row>
      <xdr:rowOff>142875</xdr:rowOff>
    </xdr:to>
    <xdr:sp macro="" textlink="">
      <xdr:nvSpPr>
        <xdr:cNvPr id="4" name="角丸四角形吹き出し 5">
          <a:extLst>
            <a:ext uri="{FF2B5EF4-FFF2-40B4-BE49-F238E27FC236}">
              <a16:creationId xmlns:a16="http://schemas.microsoft.com/office/drawing/2014/main" id="{00000000-0008-0000-1000-000004000000}"/>
            </a:ext>
          </a:extLst>
        </xdr:cNvPr>
        <xdr:cNvSpPr/>
      </xdr:nvSpPr>
      <xdr:spPr>
        <a:xfrm>
          <a:off x="8858250" y="7981950"/>
          <a:ext cx="3400425"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338138</xdr:colOff>
      <xdr:row>25</xdr:row>
      <xdr:rowOff>171573</xdr:rowOff>
    </xdr:from>
    <xdr:to>
      <xdr:col>16</xdr:col>
      <xdr:colOff>2119314</xdr:colOff>
      <xdr:row>27</xdr:row>
      <xdr:rowOff>41519</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21207413" y="15973548"/>
          <a:ext cx="16697326" cy="1393946"/>
        </a:xfrm>
        <a:prstGeom prst="rect">
          <a:avLst/>
        </a:prstGeom>
        <a:solidFill>
          <a:schemeClr val="accent1">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800" b="1">
              <a:solidFill>
                <a:schemeClr val="tx1"/>
              </a:solidFill>
              <a:effectLst/>
              <a:latin typeface="ＭＳ ゴシック" panose="020B0609070205080204" pitchFamily="49" charset="-128"/>
              <a:ea typeface="ＭＳ ゴシック" panose="020B0609070205080204" pitchFamily="49" charset="-128"/>
              <a:cs typeface="+mn-cs"/>
            </a:rPr>
            <a:t>事業承継予定者が「不在・未定」の事業者に対して事業承継の実現や経営資源の引継ぎを支援します</a:t>
          </a:r>
          <a:endParaRPr lang="en-US" altLang="ja-JP" sz="28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2400">
              <a:solidFill>
                <a:schemeClr val="dk1"/>
              </a:solidFill>
              <a:effectLst/>
              <a:latin typeface="ＭＳ ゴシック" panose="020B0609070205080204" pitchFamily="49" charset="-128"/>
              <a:ea typeface="ＭＳ ゴシック" panose="020B0609070205080204" pitchFamily="49" charset="-128"/>
              <a:cs typeface="+mn-cs"/>
            </a:rPr>
            <a:t>栃木県事業引継ぎ支援センターと連携を図り事業承継に関する様々な支援を行います</a:t>
          </a:r>
          <a:endParaRPr lang="ja-JP" altLang="ja-JP" sz="24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10</xdr:col>
      <xdr:colOff>1116887</xdr:colOff>
      <xdr:row>35</xdr:row>
      <xdr:rowOff>117836</xdr:rowOff>
    </xdr:from>
    <xdr:to>
      <xdr:col>16</xdr:col>
      <xdr:colOff>1551305</xdr:colOff>
      <xdr:row>36</xdr:row>
      <xdr:rowOff>102129</xdr:rowOff>
    </xdr:to>
    <xdr:grpSp>
      <xdr:nvGrpSpPr>
        <xdr:cNvPr id="3" name="グループ化 2">
          <a:extLst>
            <a:ext uri="{FF2B5EF4-FFF2-40B4-BE49-F238E27FC236}">
              <a16:creationId xmlns:a16="http://schemas.microsoft.com/office/drawing/2014/main" id="{00000000-0008-0000-1100-000003000000}"/>
            </a:ext>
          </a:extLst>
        </xdr:cNvPr>
        <xdr:cNvGrpSpPr/>
      </xdr:nvGrpSpPr>
      <xdr:grpSpPr>
        <a:xfrm>
          <a:off x="21944887" y="23714436"/>
          <a:ext cx="15369618" cy="746293"/>
          <a:chOff x="21402968" y="22134045"/>
          <a:chExt cx="15412013" cy="746333"/>
        </a:xfrm>
      </xdr:grpSpPr>
      <xdr:sp macro="" textlink="">
        <xdr:nvSpPr>
          <xdr:cNvPr id="4" name="正方形/長方形 3">
            <a:extLst>
              <a:ext uri="{FF2B5EF4-FFF2-40B4-BE49-F238E27FC236}">
                <a16:creationId xmlns:a16="http://schemas.microsoft.com/office/drawing/2014/main" id="{00000000-0008-0000-1100-000004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５　フォローアップ支援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27034834"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事業承継後の経営の安定に向けてサポート</a:t>
            </a:r>
            <a:endParaRPr lang="ja-JP" altLang="ja-JP" sz="2400" b="1">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10</xdr:col>
      <xdr:colOff>1259976</xdr:colOff>
      <xdr:row>27</xdr:row>
      <xdr:rowOff>391668</xdr:rowOff>
    </xdr:from>
    <xdr:to>
      <xdr:col>16</xdr:col>
      <xdr:colOff>1726938</xdr:colOff>
      <xdr:row>34</xdr:row>
      <xdr:rowOff>70702</xdr:rowOff>
    </xdr:to>
    <xdr:grpSp>
      <xdr:nvGrpSpPr>
        <xdr:cNvPr id="6" name="グループ化 5">
          <a:extLst>
            <a:ext uri="{FF2B5EF4-FFF2-40B4-BE49-F238E27FC236}">
              <a16:creationId xmlns:a16="http://schemas.microsoft.com/office/drawing/2014/main" id="{00000000-0008-0000-1100-000006000000}"/>
            </a:ext>
          </a:extLst>
        </xdr:cNvPr>
        <xdr:cNvGrpSpPr/>
      </xdr:nvGrpSpPr>
      <xdr:grpSpPr>
        <a:xfrm>
          <a:off x="22087976" y="17892268"/>
          <a:ext cx="15402162" cy="5013034"/>
          <a:chOff x="21381422" y="17147768"/>
          <a:chExt cx="15381718" cy="5040912"/>
        </a:xfrm>
      </xdr:grpSpPr>
      <xdr:grpSp>
        <xdr:nvGrpSpPr>
          <xdr:cNvPr id="7" name="グループ化 6">
            <a:extLst>
              <a:ext uri="{FF2B5EF4-FFF2-40B4-BE49-F238E27FC236}">
                <a16:creationId xmlns:a16="http://schemas.microsoft.com/office/drawing/2014/main" id="{00000000-0008-0000-1100-000007000000}"/>
              </a:ext>
            </a:extLst>
          </xdr:cNvPr>
          <xdr:cNvGrpSpPr/>
        </xdr:nvGrpSpPr>
        <xdr:grpSpPr>
          <a:xfrm>
            <a:off x="21411796" y="18554068"/>
            <a:ext cx="15349174" cy="762517"/>
            <a:chOff x="21402968" y="22138223"/>
            <a:chExt cx="15412013" cy="758037"/>
          </a:xfrm>
        </xdr:grpSpPr>
        <xdr:sp macro="" textlink="">
          <xdr:nvSpPr>
            <xdr:cNvPr id="20" name="正方形/長方形 19">
              <a:extLst>
                <a:ext uri="{FF2B5EF4-FFF2-40B4-BE49-F238E27FC236}">
                  <a16:creationId xmlns:a16="http://schemas.microsoft.com/office/drawing/2014/main" id="{00000000-0008-0000-1100-000014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２</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マッチング支援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xdr:txBody>
        </xdr:sp>
        <xdr:sp macro="" textlink="">
          <xdr:nvSpPr>
            <xdr:cNvPr id="21" name="正方形/長方形 20">
              <a:extLst>
                <a:ext uri="{FF2B5EF4-FFF2-40B4-BE49-F238E27FC236}">
                  <a16:creationId xmlns:a16="http://schemas.microsoft.com/office/drawing/2014/main" id="{00000000-0008-0000-1100-000015000000}"/>
                </a:ext>
              </a:extLst>
            </xdr:cNvPr>
            <xdr:cNvSpPr/>
          </xdr:nvSpPr>
          <xdr:spPr>
            <a:xfrm>
              <a:off x="27034834" y="2215410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栃木県事業引継ぎ支援センター等による承継候補先の選定及び支援</a:t>
              </a:r>
              <a:endParaRPr lang="ja-JP" altLang="ja-JP" sz="2400" b="1">
                <a:effectLst/>
                <a:latin typeface="ＭＳ ゴシック" panose="020B0609070205080204" pitchFamily="49" charset="-128"/>
                <a:ea typeface="ＭＳ ゴシック" panose="020B0609070205080204" pitchFamily="49" charset="-128"/>
              </a:endParaRPr>
            </a:p>
          </xdr:txBody>
        </xdr:sp>
      </xdr:grpSp>
      <xdr:grpSp>
        <xdr:nvGrpSpPr>
          <xdr:cNvPr id="8" name="グループ化 7">
            <a:extLst>
              <a:ext uri="{FF2B5EF4-FFF2-40B4-BE49-F238E27FC236}">
                <a16:creationId xmlns:a16="http://schemas.microsoft.com/office/drawing/2014/main" id="{00000000-0008-0000-1100-000008000000}"/>
              </a:ext>
            </a:extLst>
          </xdr:cNvPr>
          <xdr:cNvGrpSpPr/>
        </xdr:nvGrpSpPr>
        <xdr:grpSpPr>
          <a:xfrm>
            <a:off x="21413966" y="17147768"/>
            <a:ext cx="15349174" cy="762517"/>
            <a:chOff x="21402968" y="22138223"/>
            <a:chExt cx="15412013" cy="758036"/>
          </a:xfrm>
        </xdr:grpSpPr>
        <xdr:sp macro="" textlink="">
          <xdr:nvSpPr>
            <xdr:cNvPr id="18" name="正方形/長方形 17">
              <a:extLst>
                <a:ext uri="{FF2B5EF4-FFF2-40B4-BE49-F238E27FC236}">
                  <a16:creationId xmlns:a16="http://schemas.microsoft.com/office/drawing/2014/main" id="{00000000-0008-0000-1100-000012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１</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相談受付</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1100-000013000000}"/>
                </a:ext>
              </a:extLst>
            </xdr:cNvPr>
            <xdr:cNvSpPr/>
          </xdr:nvSpPr>
          <xdr:spPr>
            <a:xfrm>
              <a:off x="27034834" y="22154104"/>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事業承継に係る相談や希望を確認</a:t>
              </a:r>
              <a:endParaRPr lang="ja-JP" altLang="ja-JP" sz="2400" b="1">
                <a:effectLst/>
                <a:latin typeface="ＭＳ ゴシック" panose="020B0609070205080204" pitchFamily="49" charset="-128"/>
                <a:ea typeface="ＭＳ ゴシック" panose="020B0609070205080204" pitchFamily="49" charset="-128"/>
              </a:endParaRPr>
            </a:p>
          </xdr:txBody>
        </xdr:sp>
      </xdr:grpSp>
      <xdr:grpSp>
        <xdr:nvGrpSpPr>
          <xdr:cNvPr id="9" name="グループ化 8">
            <a:extLst>
              <a:ext uri="{FF2B5EF4-FFF2-40B4-BE49-F238E27FC236}">
                <a16:creationId xmlns:a16="http://schemas.microsoft.com/office/drawing/2014/main" id="{00000000-0008-0000-1100-000009000000}"/>
              </a:ext>
            </a:extLst>
          </xdr:cNvPr>
          <xdr:cNvGrpSpPr/>
        </xdr:nvGrpSpPr>
        <xdr:grpSpPr>
          <a:xfrm>
            <a:off x="21387772" y="20001465"/>
            <a:ext cx="15349174" cy="750938"/>
            <a:chOff x="21402968" y="22134045"/>
            <a:chExt cx="15412013" cy="746333"/>
          </a:xfrm>
        </xdr:grpSpPr>
        <xdr:sp macro="" textlink="">
          <xdr:nvSpPr>
            <xdr:cNvPr id="16" name="正方形/長方形 15">
              <a:extLst>
                <a:ext uri="{FF2B5EF4-FFF2-40B4-BE49-F238E27FC236}">
                  <a16:creationId xmlns:a16="http://schemas.microsoft.com/office/drawing/2014/main" id="{00000000-0008-0000-1100-000010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３</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計画策定支援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1100-000011000000}"/>
                </a:ext>
              </a:extLst>
            </xdr:cNvPr>
            <xdr:cNvSpPr/>
          </xdr:nvSpPr>
          <xdr:spPr>
            <a:xfrm>
              <a:off x="27034834"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事業承継計画の策定支援（事業承継サポート事業）</a:t>
              </a:r>
              <a:endParaRPr lang="ja-JP" altLang="ja-JP" sz="2400">
                <a:effectLst/>
                <a:latin typeface="ＭＳ ゴシック" panose="020B0609070205080204" pitchFamily="49" charset="-128"/>
                <a:ea typeface="ＭＳ ゴシック" panose="020B0609070205080204" pitchFamily="49" charset="-128"/>
              </a:endParaRPr>
            </a:p>
          </xdr:txBody>
        </xdr:sp>
      </xdr:grpSp>
      <xdr:grpSp>
        <xdr:nvGrpSpPr>
          <xdr:cNvPr id="10" name="グループ化 9">
            <a:extLst>
              <a:ext uri="{FF2B5EF4-FFF2-40B4-BE49-F238E27FC236}">
                <a16:creationId xmlns:a16="http://schemas.microsoft.com/office/drawing/2014/main" id="{00000000-0008-0000-1100-00000A000000}"/>
              </a:ext>
            </a:extLst>
          </xdr:cNvPr>
          <xdr:cNvGrpSpPr/>
        </xdr:nvGrpSpPr>
        <xdr:grpSpPr>
          <a:xfrm>
            <a:off x="21381422" y="21437739"/>
            <a:ext cx="15349175" cy="750941"/>
            <a:chOff x="21402968" y="22134045"/>
            <a:chExt cx="15412014" cy="746333"/>
          </a:xfrm>
        </xdr:grpSpPr>
        <xdr:sp macro="" textlink="">
          <xdr:nvSpPr>
            <xdr:cNvPr id="14" name="正方形/長方形 13">
              <a:extLst>
                <a:ext uri="{FF2B5EF4-FFF2-40B4-BE49-F238E27FC236}">
                  <a16:creationId xmlns:a16="http://schemas.microsoft.com/office/drawing/2014/main" id="{00000000-0008-0000-1100-00000E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４</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資金調達支援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1100-00000F000000}"/>
                </a:ext>
              </a:extLst>
            </xdr:cNvPr>
            <xdr:cNvSpPr/>
          </xdr:nvSpPr>
          <xdr:spPr>
            <a:xfrm>
              <a:off x="27034835"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「経営資源引継ぎサポート制度」など保証協会を活用した金融支援</a:t>
              </a:r>
              <a:endParaRPr lang="en-US" altLang="ja-JP" sz="2400" b="1">
                <a:effectLst/>
                <a:latin typeface="ＭＳ ゴシック" panose="020B0609070205080204" pitchFamily="49" charset="-128"/>
                <a:ea typeface="ＭＳ ゴシック" panose="020B0609070205080204" pitchFamily="49" charset="-128"/>
              </a:endParaRPr>
            </a:p>
          </xdr:txBody>
        </xdr:sp>
      </xdr:grpSp>
      <xdr:sp macro="" textlink="">
        <xdr:nvSpPr>
          <xdr:cNvPr id="11" name="矢印: 下 10">
            <a:extLst>
              <a:ext uri="{FF2B5EF4-FFF2-40B4-BE49-F238E27FC236}">
                <a16:creationId xmlns:a16="http://schemas.microsoft.com/office/drawing/2014/main" id="{00000000-0008-0000-1100-00000B000000}"/>
              </a:ext>
            </a:extLst>
          </xdr:cNvPr>
          <xdr:cNvSpPr/>
        </xdr:nvSpPr>
        <xdr:spPr>
          <a:xfrm>
            <a:off x="31191955" y="17940202"/>
            <a:ext cx="1924844" cy="607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矢印: 下 11">
            <a:extLst>
              <a:ext uri="{FF2B5EF4-FFF2-40B4-BE49-F238E27FC236}">
                <a16:creationId xmlns:a16="http://schemas.microsoft.com/office/drawing/2014/main" id="{00000000-0008-0000-1100-00000C000000}"/>
              </a:ext>
            </a:extLst>
          </xdr:cNvPr>
          <xdr:cNvSpPr/>
        </xdr:nvSpPr>
        <xdr:spPr>
          <a:xfrm>
            <a:off x="31189573" y="19351740"/>
            <a:ext cx="1924844" cy="60789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矢印: 下 12">
            <a:extLst>
              <a:ext uri="{FF2B5EF4-FFF2-40B4-BE49-F238E27FC236}">
                <a16:creationId xmlns:a16="http://schemas.microsoft.com/office/drawing/2014/main" id="{00000000-0008-0000-1100-00000D000000}"/>
              </a:ext>
            </a:extLst>
          </xdr:cNvPr>
          <xdr:cNvSpPr/>
        </xdr:nvSpPr>
        <xdr:spPr>
          <a:xfrm>
            <a:off x="31183221" y="20793206"/>
            <a:ext cx="1924844" cy="607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1101535</xdr:colOff>
      <xdr:row>34</xdr:row>
      <xdr:rowOff>158542</xdr:rowOff>
    </xdr:from>
    <xdr:to>
      <xdr:col>15</xdr:col>
      <xdr:colOff>540587</xdr:colOff>
      <xdr:row>34</xdr:row>
      <xdr:rowOff>761791</xdr:rowOff>
    </xdr:to>
    <xdr:sp macro="" textlink="">
      <xdr:nvSpPr>
        <xdr:cNvPr id="22" name="矢印: 下 21">
          <a:extLst>
            <a:ext uri="{FF2B5EF4-FFF2-40B4-BE49-F238E27FC236}">
              <a16:creationId xmlns:a16="http://schemas.microsoft.com/office/drawing/2014/main" id="{00000000-0008-0000-1100-000016000000}"/>
            </a:ext>
          </a:extLst>
        </xdr:cNvPr>
        <xdr:cNvSpPr/>
      </xdr:nvSpPr>
      <xdr:spPr>
        <a:xfrm>
          <a:off x="31914910" y="22818517"/>
          <a:ext cx="1925077" cy="603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1026746</xdr:colOff>
      <xdr:row>23</xdr:row>
      <xdr:rowOff>500672</xdr:rowOff>
    </xdr:from>
    <xdr:ext cx="6647974" cy="692562"/>
    <xdr:sp macro="" textlink="">
      <xdr:nvSpPr>
        <xdr:cNvPr id="23" name="テキスト ボックス 22">
          <a:extLst>
            <a:ext uri="{FF2B5EF4-FFF2-40B4-BE49-F238E27FC236}">
              <a16:creationId xmlns:a16="http://schemas.microsoft.com/office/drawing/2014/main" id="{00000000-0008-0000-1100-000017000000}"/>
            </a:ext>
          </a:extLst>
        </xdr:cNvPr>
        <xdr:cNvSpPr txBox="1"/>
      </xdr:nvSpPr>
      <xdr:spPr>
        <a:xfrm>
          <a:off x="26868071" y="14778647"/>
          <a:ext cx="6647974" cy="692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0070C0"/>
              </a:solidFill>
              <a:latin typeface="ＭＳ ゴシック" panose="020B0609070205080204" pitchFamily="49" charset="-128"/>
              <a:ea typeface="ＭＳ ゴシック" panose="020B0609070205080204" pitchFamily="49" charset="-128"/>
            </a:rPr>
            <a:t>とちぎ経営資源引継ぎ支援事業</a:t>
          </a:r>
        </a:p>
      </xdr:txBody>
    </xdr:sp>
    <xdr:clientData/>
  </xdr:oneCellAnchor>
  <xdr:twoCellAnchor>
    <xdr:from>
      <xdr:col>13</xdr:col>
      <xdr:colOff>381000</xdr:colOff>
      <xdr:row>4</xdr:row>
      <xdr:rowOff>457200</xdr:rowOff>
    </xdr:from>
    <xdr:to>
      <xdr:col>16</xdr:col>
      <xdr:colOff>2343150</xdr:colOff>
      <xdr:row>10</xdr:row>
      <xdr:rowOff>0</xdr:rowOff>
    </xdr:to>
    <xdr:sp macro="" textlink="">
      <xdr:nvSpPr>
        <xdr:cNvPr id="24" name="吹き出し: 円形 23">
          <a:extLst>
            <a:ext uri="{FF2B5EF4-FFF2-40B4-BE49-F238E27FC236}">
              <a16:creationId xmlns:a16="http://schemas.microsoft.com/office/drawing/2014/main" id="{00000000-0008-0000-1100-000018000000}"/>
            </a:ext>
          </a:extLst>
        </xdr:cNvPr>
        <xdr:cNvSpPr/>
      </xdr:nvSpPr>
      <xdr:spPr>
        <a:xfrm>
          <a:off x="28708350" y="2352675"/>
          <a:ext cx="9420225" cy="2971800"/>
        </a:xfrm>
        <a:prstGeom prst="wedgeEllipseCallout">
          <a:avLst/>
        </a:prstGeom>
        <a:no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・収支状況を見直し資金繰りを改善させ</a:t>
          </a:r>
          <a:br>
            <a:rPr kumimoji="1" lang="en-US" altLang="ja-JP" sz="2800" b="1">
              <a:solidFill>
                <a:schemeClr val="tx1"/>
              </a:solidFill>
              <a:effectLst/>
              <a:latin typeface="ＭＳ ゴシック" panose="020B0609070205080204" pitchFamily="49" charset="-128"/>
              <a:ea typeface="ＭＳ ゴシック" panose="020B0609070205080204" pitchFamily="49" charset="-128"/>
              <a:cs typeface="+mn-cs"/>
            </a:rPr>
          </a:b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・設備が老朽化しているため、生産性の</a:t>
          </a:r>
          <a:br>
            <a:rPr kumimoji="1" lang="en-US" altLang="ja-JP" sz="2800" b="1">
              <a:solidFill>
                <a:schemeClr val="tx1"/>
              </a:solidFill>
              <a:effectLst/>
              <a:latin typeface="ＭＳ ゴシック" panose="020B0609070205080204" pitchFamily="49" charset="-128"/>
              <a:ea typeface="ＭＳ ゴシック" panose="020B0609070205080204" pitchFamily="49" charset="-128"/>
              <a:cs typeface="+mn-cs"/>
            </a:rPr>
          </a:b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高い設備に一新したい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後継者への事業承継を円滑に行いたい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10</xdr:col>
      <xdr:colOff>266700</xdr:colOff>
      <xdr:row>10</xdr:row>
      <xdr:rowOff>19050</xdr:rowOff>
    </xdr:from>
    <xdr:to>
      <xdr:col>16</xdr:col>
      <xdr:colOff>2095500</xdr:colOff>
      <xdr:row>22</xdr:row>
      <xdr:rowOff>438150</xdr:rowOff>
    </xdr:to>
    <xdr:graphicFrame macro="">
      <xdr:nvGraphicFramePr>
        <xdr:cNvPr id="25" name="図表 24">
          <a:extLst>
            <a:ext uri="{FF2B5EF4-FFF2-40B4-BE49-F238E27FC236}">
              <a16:creationId xmlns:a16="http://schemas.microsoft.com/office/drawing/2014/main" id="{00000000-0008-0000-1100-00001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14</xdr:col>
      <xdr:colOff>1695450</xdr:colOff>
      <xdr:row>14</xdr:row>
      <xdr:rowOff>704850</xdr:rowOff>
    </xdr:from>
    <xdr:to>
      <xdr:col>16</xdr:col>
      <xdr:colOff>895350</xdr:colOff>
      <xdr:row>18</xdr:row>
      <xdr:rowOff>133350</xdr:rowOff>
    </xdr:to>
    <xdr:sp macro="" textlink="">
      <xdr:nvSpPr>
        <xdr:cNvPr id="26" name="四角形: 角を丸くする 25">
          <a:extLst>
            <a:ext uri="{FF2B5EF4-FFF2-40B4-BE49-F238E27FC236}">
              <a16:creationId xmlns:a16="http://schemas.microsoft.com/office/drawing/2014/main" id="{00000000-0008-0000-1100-00001A000000}"/>
            </a:ext>
          </a:extLst>
        </xdr:cNvPr>
        <xdr:cNvSpPr/>
      </xdr:nvSpPr>
      <xdr:spPr>
        <a:xfrm>
          <a:off x="32508825" y="8181975"/>
          <a:ext cx="4171950" cy="24193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☑経営診断</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☑計画策定支援</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☑フォローアップ</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2228850</xdr:colOff>
      <xdr:row>15</xdr:row>
      <xdr:rowOff>190500</xdr:rowOff>
    </xdr:from>
    <xdr:to>
      <xdr:col>12</xdr:col>
      <xdr:colOff>933450</xdr:colOff>
      <xdr:row>17</xdr:row>
      <xdr:rowOff>457200</xdr:rowOff>
    </xdr:to>
    <xdr:sp macro="" textlink="">
      <xdr:nvSpPr>
        <xdr:cNvPr id="27" name="四角形: 角を丸くする 26">
          <a:extLst>
            <a:ext uri="{FF2B5EF4-FFF2-40B4-BE49-F238E27FC236}">
              <a16:creationId xmlns:a16="http://schemas.microsoft.com/office/drawing/2014/main" id="{00000000-0008-0000-1100-00001B000000}"/>
            </a:ext>
          </a:extLst>
        </xdr:cNvPr>
        <xdr:cNvSpPr/>
      </xdr:nvSpPr>
      <xdr:spPr>
        <a:xfrm>
          <a:off x="23098125" y="8372475"/>
          <a:ext cx="3676650" cy="17907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☑金融支援</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☑フォローアップ</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571500</xdr:colOff>
      <xdr:row>20</xdr:row>
      <xdr:rowOff>285750</xdr:rowOff>
    </xdr:from>
    <xdr:to>
      <xdr:col>13</xdr:col>
      <xdr:colOff>1866900</xdr:colOff>
      <xdr:row>21</xdr:row>
      <xdr:rowOff>171450</xdr:rowOff>
    </xdr:to>
    <xdr:sp macro="" textlink="">
      <xdr:nvSpPr>
        <xdr:cNvPr id="28" name="四角形: 角を丸くする 27">
          <a:extLst>
            <a:ext uri="{FF2B5EF4-FFF2-40B4-BE49-F238E27FC236}">
              <a16:creationId xmlns:a16="http://schemas.microsoft.com/office/drawing/2014/main" id="{00000000-0008-0000-1100-00001C000000}"/>
            </a:ext>
          </a:extLst>
        </xdr:cNvPr>
        <xdr:cNvSpPr/>
      </xdr:nvSpPr>
      <xdr:spPr>
        <a:xfrm>
          <a:off x="28898850" y="12277725"/>
          <a:ext cx="1295400" cy="6477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連携</a:t>
          </a:r>
        </a:p>
      </xdr:txBody>
    </xdr:sp>
    <xdr:clientData/>
  </xdr:twoCellAnchor>
  <xdr:oneCellAnchor>
    <xdr:from>
      <xdr:col>12</xdr:col>
      <xdr:colOff>1733550</xdr:colOff>
      <xdr:row>1</xdr:row>
      <xdr:rowOff>0</xdr:rowOff>
    </xdr:from>
    <xdr:ext cx="4339650" cy="692562"/>
    <xdr:sp macro="" textlink="">
      <xdr:nvSpPr>
        <xdr:cNvPr id="29" name="テキスト ボックス 28">
          <a:extLst>
            <a:ext uri="{FF2B5EF4-FFF2-40B4-BE49-F238E27FC236}">
              <a16:creationId xmlns:a16="http://schemas.microsoft.com/office/drawing/2014/main" id="{00000000-0008-0000-1100-00001D000000}"/>
            </a:ext>
          </a:extLst>
        </xdr:cNvPr>
        <xdr:cNvSpPr txBox="1"/>
      </xdr:nvSpPr>
      <xdr:spPr>
        <a:xfrm>
          <a:off x="27574875" y="180975"/>
          <a:ext cx="4339650" cy="692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0070C0"/>
              </a:solidFill>
              <a:latin typeface="ＭＳ ゴシック" panose="020B0609070205080204" pitchFamily="49" charset="-128"/>
              <a:ea typeface="ＭＳ ゴシック" panose="020B0609070205080204" pitchFamily="49" charset="-128"/>
            </a:rPr>
            <a:t>経営安定化支援事業</a:t>
          </a:r>
        </a:p>
      </xdr:txBody>
    </xdr:sp>
    <xdr:clientData/>
  </xdr:oneCellAnchor>
  <xdr:twoCellAnchor>
    <xdr:from>
      <xdr:col>10</xdr:col>
      <xdr:colOff>190500</xdr:colOff>
      <xdr:row>2</xdr:row>
      <xdr:rowOff>342900</xdr:rowOff>
    </xdr:from>
    <xdr:to>
      <xdr:col>16</xdr:col>
      <xdr:colOff>2362200</xdr:colOff>
      <xdr:row>4</xdr:row>
      <xdr:rowOff>323850</xdr:rowOff>
    </xdr:to>
    <xdr:sp macro="" textlink="">
      <xdr:nvSpPr>
        <xdr:cNvPr id="30" name="正方形/長方形 29">
          <a:extLst>
            <a:ext uri="{FF2B5EF4-FFF2-40B4-BE49-F238E27FC236}">
              <a16:creationId xmlns:a16="http://schemas.microsoft.com/office/drawing/2014/main" id="{00000000-0008-0000-1100-00001E000000}"/>
            </a:ext>
          </a:extLst>
        </xdr:cNvPr>
        <xdr:cNvSpPr/>
      </xdr:nvSpPr>
      <xdr:spPr>
        <a:xfrm>
          <a:off x="21059775" y="1095375"/>
          <a:ext cx="17087850" cy="1123950"/>
        </a:xfrm>
        <a:prstGeom prst="rect">
          <a:avLst/>
        </a:prstGeom>
        <a:solidFill>
          <a:schemeClr val="accent1">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800" b="1">
              <a:solidFill>
                <a:schemeClr val="tx1"/>
              </a:solidFill>
              <a:effectLst/>
              <a:latin typeface="ＭＳ ゴシック" panose="020B0609070205080204" pitchFamily="49" charset="-128"/>
              <a:ea typeface="ＭＳ ゴシック" panose="020B0609070205080204" pitchFamily="49" charset="-128"/>
              <a:cs typeface="+mn-cs"/>
            </a:rPr>
            <a:t>中小企業診断士を無料で派遣し、経営改善や生産性向上、事業承継に関わる課題解決に意欲のある事業者のサポートを行います</a:t>
          </a:r>
          <a:endParaRPr lang="ja-JP" altLang="ja-JP" sz="24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3A3B-3516-4E2E-B089-DF03CE47D3EE}">
  <sheetPr codeName="Sheet6">
    <pageSetUpPr fitToPage="1"/>
  </sheetPr>
  <dimension ref="B2:O29"/>
  <sheetViews>
    <sheetView view="pageBreakPreview" zoomScale="85" zoomScaleNormal="55" zoomScaleSheetLayoutView="85" workbookViewId="0">
      <selection activeCell="C13" sqref="C13"/>
    </sheetView>
  </sheetViews>
  <sheetFormatPr defaultRowHeight="18" x14ac:dyDescent="0.45"/>
  <cols>
    <col min="1" max="1" width="6" customWidth="1"/>
    <col min="2" max="2" width="44.8984375" customWidth="1"/>
    <col min="3" max="3" width="95.19921875" bestFit="1" customWidth="1"/>
    <col min="4" max="4" width="6.3984375" customWidth="1"/>
    <col min="7" max="7" width="7.09765625" customWidth="1"/>
  </cols>
  <sheetData>
    <row r="2" spans="2:15" x14ac:dyDescent="0.45">
      <c r="B2" s="44" t="s">
        <v>52</v>
      </c>
      <c r="C2" t="s">
        <v>53</v>
      </c>
      <c r="D2" t="s">
        <v>46</v>
      </c>
      <c r="E2" s="45">
        <v>4000</v>
      </c>
      <c r="F2" s="46" t="s">
        <v>45</v>
      </c>
      <c r="G2" s="46" t="s">
        <v>54</v>
      </c>
      <c r="H2" s="45">
        <v>2100</v>
      </c>
      <c r="I2" t="s">
        <v>45</v>
      </c>
      <c r="J2" t="s">
        <v>46</v>
      </c>
      <c r="K2" s="45">
        <v>0</v>
      </c>
      <c r="L2" s="46" t="s">
        <v>45</v>
      </c>
      <c r="M2" s="46" t="s">
        <v>54</v>
      </c>
      <c r="N2" s="45">
        <v>0</v>
      </c>
      <c r="O2" t="s">
        <v>45</v>
      </c>
    </row>
    <row r="3" spans="2:15" x14ac:dyDescent="0.45">
      <c r="C3" t="s">
        <v>55</v>
      </c>
      <c r="D3" t="s">
        <v>46</v>
      </c>
      <c r="E3" s="45">
        <v>2500</v>
      </c>
      <c r="F3" s="46" t="s">
        <v>45</v>
      </c>
      <c r="G3" s="46" t="s">
        <v>54</v>
      </c>
      <c r="H3" s="45">
        <v>1200</v>
      </c>
      <c r="I3" t="s">
        <v>45</v>
      </c>
      <c r="J3" t="s">
        <v>46</v>
      </c>
      <c r="K3" s="45">
        <v>0</v>
      </c>
      <c r="L3" s="46" t="s">
        <v>45</v>
      </c>
      <c r="M3" s="46" t="s">
        <v>54</v>
      </c>
      <c r="N3" s="45">
        <v>0</v>
      </c>
      <c r="O3" t="s">
        <v>45</v>
      </c>
    </row>
    <row r="4" spans="2:15" x14ac:dyDescent="0.45">
      <c r="C4" t="s">
        <v>56</v>
      </c>
      <c r="D4" t="s">
        <v>46</v>
      </c>
      <c r="E4" s="45">
        <v>6000</v>
      </c>
      <c r="F4" s="46" t="s">
        <v>45</v>
      </c>
      <c r="G4" s="46" t="s">
        <v>54</v>
      </c>
      <c r="H4" s="45">
        <v>3000</v>
      </c>
      <c r="I4" t="s">
        <v>45</v>
      </c>
      <c r="J4" t="s">
        <v>46</v>
      </c>
      <c r="K4" s="45"/>
      <c r="L4" s="46" t="s">
        <v>45</v>
      </c>
      <c r="M4" s="46" t="s">
        <v>54</v>
      </c>
      <c r="N4" s="45"/>
      <c r="O4" t="s">
        <v>45</v>
      </c>
    </row>
    <row r="5" spans="2:15" x14ac:dyDescent="0.45">
      <c r="C5" t="s">
        <v>57</v>
      </c>
      <c r="D5" t="s">
        <v>46</v>
      </c>
      <c r="E5" s="45">
        <v>6000</v>
      </c>
      <c r="F5" s="46" t="s">
        <v>45</v>
      </c>
      <c r="G5" s="46" t="s">
        <v>54</v>
      </c>
      <c r="H5" s="45">
        <v>3000</v>
      </c>
      <c r="I5" t="s">
        <v>45</v>
      </c>
      <c r="J5" t="s">
        <v>46</v>
      </c>
      <c r="K5" s="45"/>
      <c r="L5" s="46" t="s">
        <v>45</v>
      </c>
      <c r="M5" s="46" t="s">
        <v>54</v>
      </c>
      <c r="N5" s="45"/>
      <c r="O5" t="s">
        <v>45</v>
      </c>
    </row>
    <row r="6" spans="2:15" x14ac:dyDescent="0.45">
      <c r="C6" t="s">
        <v>58</v>
      </c>
      <c r="D6" t="s">
        <v>46</v>
      </c>
      <c r="E6" s="45">
        <v>5000</v>
      </c>
      <c r="F6" s="46" t="s">
        <v>45</v>
      </c>
      <c r="G6" s="46" t="s">
        <v>54</v>
      </c>
      <c r="H6" s="45">
        <v>2500</v>
      </c>
      <c r="I6" t="s">
        <v>45</v>
      </c>
      <c r="J6" t="s">
        <v>46</v>
      </c>
      <c r="K6" s="45"/>
      <c r="L6" s="46" t="s">
        <v>45</v>
      </c>
      <c r="M6" s="46" t="s">
        <v>54</v>
      </c>
      <c r="N6" s="45"/>
      <c r="O6" t="s">
        <v>45</v>
      </c>
    </row>
    <row r="7" spans="2:15" x14ac:dyDescent="0.45">
      <c r="C7" t="s">
        <v>59</v>
      </c>
      <c r="D7" t="s">
        <v>46</v>
      </c>
      <c r="E7" s="45">
        <v>4500</v>
      </c>
      <c r="F7" s="46" t="s">
        <v>45</v>
      </c>
      <c r="G7" s="46" t="s">
        <v>54</v>
      </c>
      <c r="H7" s="45">
        <v>2500</v>
      </c>
      <c r="I7" t="s">
        <v>45</v>
      </c>
      <c r="J7" t="s">
        <v>46</v>
      </c>
      <c r="K7" s="45"/>
      <c r="L7" s="46" t="s">
        <v>45</v>
      </c>
      <c r="M7" s="46" t="s">
        <v>54</v>
      </c>
      <c r="N7" s="45"/>
      <c r="O7" t="s">
        <v>45</v>
      </c>
    </row>
    <row r="8" spans="2:15" x14ac:dyDescent="0.45">
      <c r="B8" t="s">
        <v>60</v>
      </c>
      <c r="C8" t="s">
        <v>61</v>
      </c>
      <c r="E8" s="45">
        <v>250</v>
      </c>
      <c r="F8" t="s">
        <v>45</v>
      </c>
      <c r="J8" t="s">
        <v>120</v>
      </c>
    </row>
    <row r="9" spans="2:15" x14ac:dyDescent="0.45">
      <c r="C9" t="s">
        <v>62</v>
      </c>
      <c r="E9" s="45">
        <v>700</v>
      </c>
      <c r="F9" t="s">
        <v>45</v>
      </c>
    </row>
    <row r="10" spans="2:15" x14ac:dyDescent="0.45">
      <c r="C10" t="s">
        <v>63</v>
      </c>
      <c r="E10" s="45">
        <v>25</v>
      </c>
      <c r="F10" t="s">
        <v>45</v>
      </c>
    </row>
    <row r="11" spans="2:15" x14ac:dyDescent="0.45">
      <c r="C11" t="s">
        <v>64</v>
      </c>
      <c r="E11" s="45">
        <v>250</v>
      </c>
      <c r="F11" t="s">
        <v>45</v>
      </c>
    </row>
    <row r="12" spans="2:15" x14ac:dyDescent="0.45">
      <c r="C12" t="s">
        <v>103</v>
      </c>
      <c r="E12" s="45">
        <v>50</v>
      </c>
      <c r="F12" t="s">
        <v>45</v>
      </c>
    </row>
    <row r="13" spans="2:15" x14ac:dyDescent="0.45">
      <c r="C13" t="s">
        <v>123</v>
      </c>
      <c r="E13" s="45">
        <v>150</v>
      </c>
      <c r="F13" t="s">
        <v>45</v>
      </c>
    </row>
    <row r="14" spans="2:15" x14ac:dyDescent="0.45">
      <c r="B14" t="s">
        <v>66</v>
      </c>
      <c r="C14" t="s">
        <v>67</v>
      </c>
      <c r="E14" s="45">
        <v>4000</v>
      </c>
      <c r="F14" t="s">
        <v>45</v>
      </c>
    </row>
    <row r="15" spans="2:15" x14ac:dyDescent="0.45">
      <c r="B15" s="248" t="s">
        <v>102</v>
      </c>
      <c r="C15" t="s">
        <v>118</v>
      </c>
      <c r="E15" s="95">
        <v>0.4</v>
      </c>
    </row>
    <row r="16" spans="2:15" x14ac:dyDescent="0.45">
      <c r="B16" s="248"/>
      <c r="C16" t="s">
        <v>116</v>
      </c>
      <c r="E16" s="95">
        <v>0</v>
      </c>
    </row>
    <row r="17" spans="2:5" x14ac:dyDescent="0.45">
      <c r="B17" s="248"/>
      <c r="C17" s="94" t="s">
        <v>115</v>
      </c>
      <c r="E17" s="95">
        <v>0.3</v>
      </c>
    </row>
    <row r="18" spans="2:5" x14ac:dyDescent="0.45">
      <c r="C18" s="94" t="s">
        <v>110</v>
      </c>
      <c r="E18" s="95">
        <v>0.3</v>
      </c>
    </row>
    <row r="19" spans="2:5" x14ac:dyDescent="0.45">
      <c r="C19" s="94" t="s">
        <v>111</v>
      </c>
      <c r="E19" s="95">
        <v>0</v>
      </c>
    </row>
    <row r="20" spans="2:5" x14ac:dyDescent="0.45">
      <c r="C20" s="94" t="s">
        <v>112</v>
      </c>
      <c r="E20" s="95">
        <v>0</v>
      </c>
    </row>
    <row r="21" spans="2:5" x14ac:dyDescent="0.45">
      <c r="B21" s="248" t="s">
        <v>101</v>
      </c>
      <c r="C21" s="94" t="s">
        <v>119</v>
      </c>
      <c r="E21" s="95">
        <v>0.7</v>
      </c>
    </row>
    <row r="22" spans="2:5" x14ac:dyDescent="0.45">
      <c r="B22" s="248"/>
      <c r="C22" s="94" t="s">
        <v>117</v>
      </c>
      <c r="E22" s="95">
        <v>0.3</v>
      </c>
    </row>
    <row r="23" spans="2:5" x14ac:dyDescent="0.45">
      <c r="B23" s="248"/>
      <c r="C23" s="94" t="s">
        <v>114</v>
      </c>
      <c r="E23" s="95">
        <v>0</v>
      </c>
    </row>
    <row r="24" spans="2:5" x14ac:dyDescent="0.45">
      <c r="C24" s="94" t="s">
        <v>110</v>
      </c>
      <c r="E24" s="95">
        <v>0</v>
      </c>
    </row>
    <row r="25" spans="2:5" x14ac:dyDescent="0.45">
      <c r="C25" s="94" t="s">
        <v>113</v>
      </c>
      <c r="E25" s="95">
        <v>0</v>
      </c>
    </row>
    <row r="26" spans="2:5" x14ac:dyDescent="0.45">
      <c r="C26" s="94" t="s">
        <v>112</v>
      </c>
      <c r="E26" s="95">
        <v>0</v>
      </c>
    </row>
    <row r="27" spans="2:5" x14ac:dyDescent="0.45">
      <c r="B27" t="s">
        <v>90</v>
      </c>
      <c r="C27" s="94" t="s">
        <v>122</v>
      </c>
    </row>
    <row r="29" spans="2:5" x14ac:dyDescent="0.45">
      <c r="B29" t="s">
        <v>121</v>
      </c>
    </row>
  </sheetData>
  <mergeCells count="2">
    <mergeCell ref="B15:B17"/>
    <mergeCell ref="B21:B23"/>
  </mergeCells>
  <phoneticPr fontId="3"/>
  <pageMargins left="0.7" right="0.7" top="0.75" bottom="0.75" header="0.3" footer="0.3"/>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1F3AF-6926-4786-BE27-9932825D28B5}">
  <sheetPr codeName="Sheet16">
    <pageSetUpPr fitToPage="1"/>
  </sheetPr>
  <dimension ref="B1:Q38"/>
  <sheetViews>
    <sheetView view="pageBreakPreview" topLeftCell="A13" zoomScaleNormal="100" zoomScaleSheetLayoutView="100" workbookViewId="0">
      <selection activeCell="K14" sqref="K14"/>
    </sheetView>
  </sheetViews>
  <sheetFormatPr defaultRowHeight="18" x14ac:dyDescent="0.45"/>
  <cols>
    <col min="1" max="1" width="5.19921875" customWidth="1"/>
    <col min="2" max="2" width="17.59765625" style="85" customWidth="1"/>
    <col min="3" max="3" width="11.59765625" customWidth="1"/>
    <col min="4" max="7" width="9.3984375" bestFit="1" customWidth="1"/>
    <col min="9" max="9" width="6.8984375" customWidth="1"/>
    <col min="10" max="10" width="17.59765625" style="49" customWidth="1"/>
    <col min="11" max="16" width="9.3984375" bestFit="1" customWidth="1"/>
  </cols>
  <sheetData>
    <row r="1" spans="2:17" ht="29.4" thickBot="1" x14ac:dyDescent="0.5">
      <c r="C1" s="250" t="s">
        <v>96</v>
      </c>
      <c r="D1" s="250"/>
      <c r="E1" s="250"/>
      <c r="F1" s="250"/>
      <c r="G1" s="250"/>
      <c r="H1" s="250"/>
      <c r="I1" s="250"/>
      <c r="J1" s="250"/>
      <c r="K1" s="250"/>
      <c r="L1" s="250"/>
      <c r="M1" s="250"/>
      <c r="N1" s="250"/>
      <c r="O1" s="50" t="s">
        <v>72</v>
      </c>
      <c r="P1" s="51">
        <v>0.8</v>
      </c>
    </row>
    <row r="2" spans="2:17" x14ac:dyDescent="0.45">
      <c r="B2" s="86"/>
      <c r="C2" s="55"/>
      <c r="D2" s="55"/>
      <c r="E2" s="56"/>
      <c r="F2" s="55"/>
      <c r="G2" s="55"/>
      <c r="H2" s="55"/>
      <c r="I2" s="55"/>
      <c r="J2" s="55"/>
      <c r="K2" s="55"/>
      <c r="L2" s="55"/>
      <c r="M2" s="56"/>
      <c r="Q2" s="49"/>
    </row>
    <row r="3" spans="2:17" x14ac:dyDescent="0.45">
      <c r="B3" s="86"/>
      <c r="C3" s="55"/>
      <c r="D3" s="55"/>
      <c r="E3" s="56"/>
      <c r="F3" s="55"/>
      <c r="G3" s="55"/>
      <c r="H3" s="55"/>
      <c r="I3" s="55"/>
      <c r="J3" s="55"/>
      <c r="K3" s="55"/>
      <c r="L3" s="55"/>
      <c r="M3" s="56"/>
      <c r="Q3" s="49"/>
    </row>
    <row r="4" spans="2:17" s="89" customFormat="1" ht="26.4" x14ac:dyDescent="0.45">
      <c r="B4" s="295" t="s">
        <v>73</v>
      </c>
      <c r="C4" s="295"/>
      <c r="D4" s="295"/>
      <c r="E4" s="295"/>
      <c r="F4" s="87"/>
      <c r="G4" s="88"/>
      <c r="H4" s="88"/>
      <c r="I4" s="88"/>
      <c r="J4" s="296" t="s">
        <v>74</v>
      </c>
      <c r="K4" s="296"/>
      <c r="L4" s="296"/>
      <c r="M4" s="296"/>
    </row>
    <row r="5" spans="2:17" s="59" customFormat="1" ht="22.5" customHeight="1" x14ac:dyDescent="0.45">
      <c r="B5" s="60"/>
      <c r="C5" s="61">
        <f ca="1">NOW()+30</f>
        <v>45046.432305208335</v>
      </c>
      <c r="D5" s="61">
        <f ca="1">C5+30</f>
        <v>45076.432305208335</v>
      </c>
      <c r="E5" s="61">
        <f t="shared" ref="E5:H5" ca="1" si="0">D5+30</f>
        <v>45106.432305208335</v>
      </c>
      <c r="F5" s="61">
        <f t="shared" ca="1" si="0"/>
        <v>45136.432305208335</v>
      </c>
      <c r="G5" s="61">
        <f t="shared" ca="1" si="0"/>
        <v>45166.432305208335</v>
      </c>
      <c r="H5" s="84">
        <f t="shared" ca="1" si="0"/>
        <v>45196.432305208335</v>
      </c>
      <c r="J5" s="62"/>
      <c r="K5" s="61">
        <f t="shared" ref="K5:N5" ca="1" si="1">C5</f>
        <v>45046.432305208335</v>
      </c>
      <c r="L5" s="61">
        <f t="shared" ca="1" si="1"/>
        <v>45076.432305208335</v>
      </c>
      <c r="M5" s="61">
        <f t="shared" ca="1" si="1"/>
        <v>45106.432305208335</v>
      </c>
      <c r="N5" s="61">
        <f t="shared" ca="1" si="1"/>
        <v>45136.432305208335</v>
      </c>
      <c r="O5" s="61">
        <f ca="1">G5</f>
        <v>45166.432305208335</v>
      </c>
      <c r="P5" s="84">
        <f ca="1">H5</f>
        <v>45196.432305208335</v>
      </c>
    </row>
    <row r="6" spans="2:17" s="59" customFormat="1" ht="22.5" customHeight="1" x14ac:dyDescent="0.45">
      <c r="B6" s="63" t="s">
        <v>75</v>
      </c>
      <c r="C6" s="64">
        <f>'資金繰り表データ入力（製造）'!E14</f>
        <v>30000</v>
      </c>
      <c r="D6" s="64">
        <f>C27</f>
        <v>24135</v>
      </c>
      <c r="E6" s="64">
        <f>D27</f>
        <v>22280</v>
      </c>
      <c r="F6" s="64">
        <f>E27</f>
        <v>20715</v>
      </c>
      <c r="G6" s="64">
        <f>F27</f>
        <v>19400</v>
      </c>
      <c r="H6" s="64">
        <f>G27</f>
        <v>18395</v>
      </c>
      <c r="I6" s="58"/>
      <c r="J6" s="65" t="str">
        <f>B6</f>
        <v>月初現金残高</v>
      </c>
      <c r="K6" s="64">
        <f>C6</f>
        <v>30000</v>
      </c>
      <c r="L6" s="64">
        <f>K27</f>
        <v>24069</v>
      </c>
      <c r="M6" s="64">
        <f>L27</f>
        <v>21336</v>
      </c>
      <c r="N6" s="66">
        <f>M27</f>
        <v>18825</v>
      </c>
      <c r="O6" s="66">
        <f>N27</f>
        <v>16504</v>
      </c>
      <c r="P6" s="66">
        <f>O27</f>
        <v>14421</v>
      </c>
    </row>
    <row r="7" spans="2:17" s="59" customFormat="1" ht="22.5" customHeight="1" x14ac:dyDescent="0.45">
      <c r="B7" s="67"/>
      <c r="C7" s="58"/>
      <c r="D7" s="58"/>
      <c r="E7" s="58"/>
      <c r="F7" s="57"/>
      <c r="G7" s="58"/>
      <c r="H7" s="58"/>
      <c r="I7" s="58"/>
      <c r="J7" s="68"/>
      <c r="K7" s="58"/>
      <c r="L7" s="58"/>
      <c r="M7" s="58"/>
    </row>
    <row r="8" spans="2:17" s="59" customFormat="1" ht="22.5" customHeight="1" x14ac:dyDescent="0.45">
      <c r="B8" s="60"/>
      <c r="C8" s="61">
        <f ca="1">NOW()+30</f>
        <v>45046.432305208335</v>
      </c>
      <c r="D8" s="61">
        <f ca="1">C8+30</f>
        <v>45076.432305208335</v>
      </c>
      <c r="E8" s="61">
        <f t="shared" ref="E8:H8" ca="1" si="2">D8+30</f>
        <v>45106.432305208335</v>
      </c>
      <c r="F8" s="61">
        <f t="shared" ca="1" si="2"/>
        <v>45136.432305208335</v>
      </c>
      <c r="G8" s="61">
        <f t="shared" ca="1" si="2"/>
        <v>45166.432305208335</v>
      </c>
      <c r="H8" s="84">
        <f t="shared" ca="1" si="2"/>
        <v>45196.432305208335</v>
      </c>
      <c r="J8" s="62"/>
      <c r="K8" s="61">
        <f t="shared" ref="K8:N8" ca="1" si="3">C8</f>
        <v>45046.432305208335</v>
      </c>
      <c r="L8" s="61">
        <f t="shared" ca="1" si="3"/>
        <v>45076.432305208335</v>
      </c>
      <c r="M8" s="61">
        <f t="shared" ca="1" si="3"/>
        <v>45106.432305208335</v>
      </c>
      <c r="N8" s="61">
        <f t="shared" ca="1" si="3"/>
        <v>45136.432305208335</v>
      </c>
      <c r="O8" s="61">
        <f ca="1">G8</f>
        <v>45166.432305208335</v>
      </c>
      <c r="P8" s="84">
        <f ca="1">H8</f>
        <v>45196.432305208335</v>
      </c>
    </row>
    <row r="9" spans="2:17" s="59" customFormat="1" ht="22.5" customHeight="1" x14ac:dyDescent="0.45">
      <c r="B9" s="63" t="s">
        <v>46</v>
      </c>
      <c r="C9" s="69">
        <f>'資金繰り表データ入力（製造）'!E2</f>
        <v>7500</v>
      </c>
      <c r="D9" s="69">
        <f>'資金繰り表データ入力（製造）'!E3</f>
        <v>8000</v>
      </c>
      <c r="E9" s="69">
        <f>'資金繰り表データ入力（製造）'!E4</f>
        <v>8500</v>
      </c>
      <c r="F9" s="69">
        <f>'資金繰り表データ入力（製造）'!E5</f>
        <v>9000</v>
      </c>
      <c r="G9" s="69">
        <f>'資金繰り表データ入力（製造）'!E6</f>
        <v>9500</v>
      </c>
      <c r="H9" s="69">
        <f>'資金繰り表データ入力（製造）'!E7</f>
        <v>10000</v>
      </c>
      <c r="J9" s="63" t="str">
        <f t="shared" ref="J9:J10" si="4">B9</f>
        <v>売上</v>
      </c>
      <c r="K9" s="69">
        <f>C9*$P$1</f>
        <v>6000</v>
      </c>
      <c r="L9" s="69">
        <f t="shared" ref="K9:P10" si="5">D9*$P$1</f>
        <v>6400</v>
      </c>
      <c r="M9" s="69">
        <f t="shared" si="5"/>
        <v>6800</v>
      </c>
      <c r="N9" s="69">
        <f t="shared" si="5"/>
        <v>7200</v>
      </c>
      <c r="O9" s="69">
        <f t="shared" si="5"/>
        <v>7600</v>
      </c>
      <c r="P9" s="69">
        <f t="shared" si="5"/>
        <v>8000</v>
      </c>
    </row>
    <row r="10" spans="2:17" s="59" customFormat="1" ht="22.5" customHeight="1" x14ac:dyDescent="0.45">
      <c r="B10" s="90" t="s">
        <v>76</v>
      </c>
      <c r="C10" s="91">
        <f>C9*$E$33+IF($C$35=0,C9*$E$35,0)+IF($C$34=0,C9*$E$34,0)</f>
        <v>2250</v>
      </c>
      <c r="D10" s="91">
        <f>D9*$E$33+IF($C$34=1,$C$9*$E$34,0)+IF($C$35=1,$C$9*$E$35,0)+IF($C$34=0,$D$9*$E$34,0)+IF($C$35=0,$D$9*$E$35,0)</f>
        <v>7650</v>
      </c>
      <c r="E10" s="91">
        <f>E9*$E$33+IF($C$34=2,$C$9*$E$34,0)+IF($C$35=2,$C$9*$E$35,0)+IF($C$34=1,$D$9*$E$34,0)+IF($C$35=1,$D$9*$E$35,0)+IF($C$34=0,$E$9*$E$34,0)+IF($C$35=0,$E$9*$E$35,0)</f>
        <v>8150</v>
      </c>
      <c r="F10" s="91">
        <f>F9*$E$33+IF($C$34=3,$C$9*$E$34,0)+IF($C$35=3,$C$9*$E$35,0)+IF($C$34=2,$D$9*$E$34,0)+IF($C$35=2,$D$9*$E$35,0)+IF($C$34=1,$E$9*$E$34,0)+IF($C$35=1,$E$9*$E$35,0)+IF($C$34=0,$F$9*$E$34,0)+IF($C$35=0,$F$9*$E$35,0)</f>
        <v>8650</v>
      </c>
      <c r="G10" s="91">
        <f>G9*$E$33+IF($C$34=4,$C$9*$E$34,0)+IF($C$35=4,$C$9*$E$35,0)+IF($C$34=3,$D$9*$E$34,0)+IF($C$35=3,$D$9*$E$35,0)+IF($C$34=2,$E$9*$E$34,0)+IF($C$35=2,$E$9*$E$35,0)+IF($C$34=1,$F$9*$E$34,0)+IF($C$35=1,$F$9*$E$35,0)+IF($C$34=0,$G$9*$E$34,0)+IF($C$35=0,$G$9*$E$35,0)</f>
        <v>9150</v>
      </c>
      <c r="H10" s="91">
        <f>H9*$E$33+IF($C$34=5,$C$9*$E$34,0)+IF($C$35=5,$C$9*$E$35,0)+IF($C$34=4,$D$9*$E$34,0)+IF($C$35=4,$D$9*$E$35,0)+IF($C$34=3,$E$9*$E$34,0)+IF($C$35=3,$E$9*$E$35,0)+IF($C$34=2,$F$9*$E$34,0)+IF($C$35=2,$F$9*$E$35,0)+IF($C$34=1,$G$9*$E$34,0)+IF($C$35=1,$G$9*$E$35,0)+IF($C$34=0,$H$9*$E$34,0)+IF($C$35=0,$H$9*$E$35,0)</f>
        <v>9650</v>
      </c>
      <c r="J10" s="90" t="str">
        <f t="shared" si="4"/>
        <v>入金</v>
      </c>
      <c r="K10" s="91">
        <f t="shared" si="5"/>
        <v>1800</v>
      </c>
      <c r="L10" s="91">
        <f t="shared" si="5"/>
        <v>6120</v>
      </c>
      <c r="M10" s="91">
        <f t="shared" si="5"/>
        <v>6520</v>
      </c>
      <c r="N10" s="91">
        <f t="shared" si="5"/>
        <v>6920</v>
      </c>
      <c r="O10" s="91">
        <f t="shared" si="5"/>
        <v>7320</v>
      </c>
      <c r="P10" s="91">
        <f t="shared" si="5"/>
        <v>7720</v>
      </c>
    </row>
    <row r="11" spans="2:17" s="59" customFormat="1" ht="22.5" customHeight="1" x14ac:dyDescent="0.45">
      <c r="B11" s="67"/>
      <c r="C11" s="72"/>
      <c r="D11" s="72"/>
      <c r="E11" s="72"/>
      <c r="F11" s="72"/>
      <c r="G11" s="72"/>
      <c r="H11" s="72"/>
      <c r="J11" s="67"/>
    </row>
    <row r="12" spans="2:17" s="59" customFormat="1" ht="22.5" customHeight="1" x14ac:dyDescent="0.45">
      <c r="B12" s="60"/>
      <c r="C12" s="61">
        <f ca="1">NOW()+30</f>
        <v>45046.432305208335</v>
      </c>
      <c r="D12" s="61">
        <f ca="1">C12+30</f>
        <v>45076.432305208335</v>
      </c>
      <c r="E12" s="61">
        <f t="shared" ref="E12:H12" ca="1" si="6">D12+30</f>
        <v>45106.432305208335</v>
      </c>
      <c r="F12" s="61">
        <f t="shared" ca="1" si="6"/>
        <v>45136.432305208335</v>
      </c>
      <c r="G12" s="61">
        <f t="shared" ca="1" si="6"/>
        <v>45166.432305208335</v>
      </c>
      <c r="H12" s="84">
        <f t="shared" ca="1" si="6"/>
        <v>45196.432305208335</v>
      </c>
      <c r="J12" s="62"/>
      <c r="K12" s="61">
        <f t="shared" ref="K12:N12" ca="1" si="7">C12</f>
        <v>45046.432305208335</v>
      </c>
      <c r="L12" s="61">
        <f t="shared" ca="1" si="7"/>
        <v>45076.432305208335</v>
      </c>
      <c r="M12" s="61">
        <f t="shared" ca="1" si="7"/>
        <v>45106.432305208335</v>
      </c>
      <c r="N12" s="61">
        <f t="shared" ca="1" si="7"/>
        <v>45136.432305208335</v>
      </c>
      <c r="O12" s="61">
        <f ca="1">G12</f>
        <v>45166.432305208335</v>
      </c>
      <c r="P12" s="84">
        <f ca="1">H12</f>
        <v>45196.432305208335</v>
      </c>
    </row>
    <row r="13" spans="2:17" s="59" customFormat="1" ht="22.5" customHeight="1" x14ac:dyDescent="0.45">
      <c r="B13" s="63" t="s">
        <v>54</v>
      </c>
      <c r="C13" s="69">
        <f>'資金繰り表データ入力（製造）'!H2</f>
        <v>3200</v>
      </c>
      <c r="D13" s="69">
        <f>'資金繰り表データ入力（製造）'!H3</f>
        <v>3300</v>
      </c>
      <c r="E13" s="69">
        <f>'資金繰り表データ入力（製造）'!H4</f>
        <v>3500</v>
      </c>
      <c r="F13" s="69">
        <f>'資金繰り表データ入力（製造）'!H5</f>
        <v>3700</v>
      </c>
      <c r="G13" s="69">
        <f>'資金繰り表データ入力（製造）'!H6</f>
        <v>3800</v>
      </c>
      <c r="H13" s="69">
        <f>'資金繰り表データ入力（製造）'!H7</f>
        <v>4000</v>
      </c>
      <c r="J13" s="63" t="str">
        <f t="shared" ref="J13:K27" si="8">B13</f>
        <v>仕入</v>
      </c>
      <c r="K13" s="73">
        <f>C13*$P$1</f>
        <v>2560</v>
      </c>
      <c r="L13" s="73">
        <f t="shared" ref="L13:P14" si="9">D13*$P$1</f>
        <v>2640</v>
      </c>
      <c r="M13" s="73">
        <f t="shared" si="9"/>
        <v>2800</v>
      </c>
      <c r="N13" s="73">
        <f t="shared" si="9"/>
        <v>2960</v>
      </c>
      <c r="O13" s="73">
        <f t="shared" si="9"/>
        <v>3040</v>
      </c>
      <c r="P13" s="73">
        <f t="shared" si="9"/>
        <v>3200</v>
      </c>
    </row>
    <row r="14" spans="2:17" s="59" customFormat="1" ht="22.5" customHeight="1" x14ac:dyDescent="0.45">
      <c r="B14" s="90" t="s">
        <v>77</v>
      </c>
      <c r="C14" s="91">
        <f>C13*J33+IF(H35=0,C13*J35,0)+IF(H34=0,C13*J34,0)</f>
        <v>1920</v>
      </c>
      <c r="D14" s="91">
        <f>D13*J33+IF(H34=1,C13*J34,0)+IF(H35=1,C13*J35,0)+IF(H34=0,D13*J34,0)+IF(H35=0,D13*J35,0)</f>
        <v>3260</v>
      </c>
      <c r="E14" s="91">
        <f>E13*J33+IF(H34=2,C13*J34,0)+IF(H35=2,C13*J35,0)+IF(H34=1,D13*J34,0)+IF(H35=1,D13*J35,0)+IF(H34=0,E13*J34,0)+IF(H35=0,E13*J35,0)</f>
        <v>3420</v>
      </c>
      <c r="F14" s="91">
        <f>F13*J33+IF(H34=3,C13*J34,0)+IF(H35=3,C13*J35,0)+IF(H34=2,D13*J34,0)+IF(H35=2,D13*J35,0)+IF(H34=1,E13*J34,0)+IF(H35=1,E13*J35,0)+IF(H34=0,F13*J34,0)+IF(H35=0,F13*J35,0)</f>
        <v>3620</v>
      </c>
      <c r="G14" s="91">
        <f>G13*J33+IF(H34=4,C13*J34,0)+IF(H35=4,C13*J35,0)+IF(H34=3,D13*J34,0)+IF(H35=3,D13*J35,0)+IF(H34=2,E13*J34,0)+IF(H35=2,E13*J35,0)+IF(H34=1,F13*J34,0)+IF(H35=1,F13*J35,0)+IF(H34=0,G13*J34,0)+IF(H35=0,G13*J35,0)</f>
        <v>3760</v>
      </c>
      <c r="H14" s="91">
        <f>H13*J33+IF(H34=5,C13*J34,0)+IF(H35=5,C13*J35,0)+IF(H34=4,D13*J34,0)+IF(H35=4,D13*J35,0)+IF(H34=3,E13*J34,0)+IF(H35=3,E13*J35,0)+IF(H34=2,F13*J34,0)+IF(H35=2,F13*J35,0)+IF(H34=1,G13*J34,0)+IF(H35=1,G13*J35,0)+IF(H34=0,H13*J34,0)+IF(H35=0,H13*J35,0)</f>
        <v>3920</v>
      </c>
      <c r="J14" s="90" t="str">
        <f t="shared" si="8"/>
        <v>仕入支払</v>
      </c>
      <c r="K14" s="92">
        <f>C14*$P$1</f>
        <v>1536</v>
      </c>
      <c r="L14" s="92">
        <f t="shared" si="9"/>
        <v>2608</v>
      </c>
      <c r="M14" s="92">
        <f t="shared" si="9"/>
        <v>2736</v>
      </c>
      <c r="N14" s="92">
        <f t="shared" si="9"/>
        <v>2896</v>
      </c>
      <c r="O14" s="92">
        <f t="shared" si="9"/>
        <v>3008</v>
      </c>
      <c r="P14" s="92">
        <f t="shared" si="9"/>
        <v>3136</v>
      </c>
    </row>
    <row r="15" spans="2:17" s="59" customFormat="1" ht="22.5" customHeight="1" x14ac:dyDescent="0.45">
      <c r="B15" s="67"/>
      <c r="C15" s="72"/>
      <c r="D15" s="72"/>
      <c r="E15" s="72"/>
      <c r="F15" s="72"/>
      <c r="G15" s="72"/>
      <c r="H15" s="72"/>
      <c r="J15" s="67"/>
      <c r="K15" s="75"/>
      <c r="L15" s="75"/>
      <c r="M15" s="75"/>
      <c r="N15" s="75"/>
      <c r="O15" s="75"/>
      <c r="P15" s="75"/>
    </row>
    <row r="16" spans="2:17" s="59" customFormat="1" ht="22.5" customHeight="1" x14ac:dyDescent="0.45">
      <c r="B16" s="63" t="s">
        <v>48</v>
      </c>
      <c r="C16" s="69">
        <f>'資金繰り表データ入力（製造）'!K2</f>
        <v>0</v>
      </c>
      <c r="D16" s="69">
        <f>'資金繰り表データ入力（製造）'!K3</f>
        <v>0</v>
      </c>
      <c r="E16" s="69">
        <f>'資金繰り表データ入力（製造）'!K4</f>
        <v>0</v>
      </c>
      <c r="F16" s="69">
        <f>'資金繰り表データ入力（製造）'!K5</f>
        <v>0</v>
      </c>
      <c r="G16" s="69">
        <f>'資金繰り表データ入力（製造）'!K6</f>
        <v>0</v>
      </c>
      <c r="H16" s="69">
        <f>'資金繰り表データ入力（製造）'!K7</f>
        <v>0</v>
      </c>
      <c r="J16" s="63" t="s">
        <v>48</v>
      </c>
      <c r="K16" s="73">
        <f>C16*$P$1</f>
        <v>0</v>
      </c>
      <c r="L16" s="73">
        <f t="shared" ref="L16:P16" si="10">D16*$P$1</f>
        <v>0</v>
      </c>
      <c r="M16" s="73">
        <f t="shared" si="10"/>
        <v>0</v>
      </c>
      <c r="N16" s="73">
        <f t="shared" si="10"/>
        <v>0</v>
      </c>
      <c r="O16" s="73">
        <f t="shared" si="10"/>
        <v>0</v>
      </c>
      <c r="P16" s="73">
        <f t="shared" si="10"/>
        <v>0</v>
      </c>
    </row>
    <row r="17" spans="2:16" s="59" customFormat="1" ht="22.5" customHeight="1" x14ac:dyDescent="0.45">
      <c r="B17" s="63" t="s">
        <v>50</v>
      </c>
      <c r="C17" s="69">
        <f>'資金繰り表データ入力（製造）'!M2</f>
        <v>2200</v>
      </c>
      <c r="D17" s="69">
        <f>'資金繰り表データ入力（製造）'!M3</f>
        <v>2250</v>
      </c>
      <c r="E17" s="69">
        <f>'資金繰り表データ入力（製造）'!M4</f>
        <v>2300</v>
      </c>
      <c r="F17" s="69">
        <f>'資金繰り表データ入力（製造）'!M5</f>
        <v>2350</v>
      </c>
      <c r="G17" s="69">
        <f>'資金繰り表データ入力（製造）'!M6</f>
        <v>2400</v>
      </c>
      <c r="H17" s="69">
        <f>'資金繰り表データ入力（製造）'!M7</f>
        <v>2500</v>
      </c>
      <c r="J17" s="63" t="str">
        <f>B17</f>
        <v>労務費</v>
      </c>
      <c r="K17" s="73">
        <f>C17</f>
        <v>2200</v>
      </c>
      <c r="L17" s="73">
        <f t="shared" ref="L17:P22" si="11">D17</f>
        <v>2250</v>
      </c>
      <c r="M17" s="73">
        <f t="shared" si="11"/>
        <v>2300</v>
      </c>
      <c r="N17" s="73">
        <f t="shared" si="11"/>
        <v>2350</v>
      </c>
      <c r="O17" s="73">
        <f t="shared" si="11"/>
        <v>2400</v>
      </c>
      <c r="P17" s="73">
        <f t="shared" si="11"/>
        <v>2500</v>
      </c>
    </row>
    <row r="18" spans="2:16" s="59" customFormat="1" ht="22.5" customHeight="1" x14ac:dyDescent="0.45">
      <c r="B18" s="63" t="s">
        <v>78</v>
      </c>
      <c r="C18" s="69">
        <f>'資金繰り表データ入力（製造）'!E8</f>
        <v>1200</v>
      </c>
      <c r="D18" s="69">
        <f>C18</f>
        <v>1200</v>
      </c>
      <c r="E18" s="69">
        <f>D18</f>
        <v>1200</v>
      </c>
      <c r="F18" s="69">
        <f t="shared" ref="F18:H18" si="12">E18</f>
        <v>1200</v>
      </c>
      <c r="G18" s="69">
        <f t="shared" si="12"/>
        <v>1200</v>
      </c>
      <c r="H18" s="69">
        <f t="shared" si="12"/>
        <v>1200</v>
      </c>
      <c r="J18" s="63" t="str">
        <f t="shared" si="8"/>
        <v>人件費</v>
      </c>
      <c r="K18" s="73">
        <f>C18</f>
        <v>1200</v>
      </c>
      <c r="L18" s="73">
        <f>D18</f>
        <v>1200</v>
      </c>
      <c r="M18" s="73">
        <f t="shared" si="11"/>
        <v>1200</v>
      </c>
      <c r="N18" s="73">
        <f t="shared" si="11"/>
        <v>1200</v>
      </c>
      <c r="O18" s="73">
        <f t="shared" si="11"/>
        <v>1200</v>
      </c>
      <c r="P18" s="73">
        <f t="shared" si="11"/>
        <v>1200</v>
      </c>
    </row>
    <row r="19" spans="2:16" s="59" customFormat="1" ht="22.5" customHeight="1" x14ac:dyDescent="0.45">
      <c r="B19" s="63" t="s">
        <v>79</v>
      </c>
      <c r="C19" s="69">
        <f>'資金繰り表データ入力（製造）'!E9</f>
        <v>2200</v>
      </c>
      <c r="D19" s="69">
        <f t="shared" ref="D19:H22" si="13">C19</f>
        <v>2200</v>
      </c>
      <c r="E19" s="69">
        <f t="shared" si="13"/>
        <v>2200</v>
      </c>
      <c r="F19" s="69">
        <f t="shared" si="13"/>
        <v>2200</v>
      </c>
      <c r="G19" s="69">
        <f t="shared" si="13"/>
        <v>2200</v>
      </c>
      <c r="H19" s="69">
        <f t="shared" si="13"/>
        <v>2200</v>
      </c>
      <c r="J19" s="63" t="str">
        <f t="shared" si="8"/>
        <v>営業経費</v>
      </c>
      <c r="K19" s="73">
        <f>C19</f>
        <v>2200</v>
      </c>
      <c r="L19" s="73">
        <f t="shared" ref="L19:L22" si="14">D19</f>
        <v>2200</v>
      </c>
      <c r="M19" s="73">
        <f t="shared" si="11"/>
        <v>2200</v>
      </c>
      <c r="N19" s="73">
        <f t="shared" si="11"/>
        <v>2200</v>
      </c>
      <c r="O19" s="73">
        <f t="shared" si="11"/>
        <v>2200</v>
      </c>
      <c r="P19" s="73">
        <f t="shared" si="11"/>
        <v>2200</v>
      </c>
    </row>
    <row r="20" spans="2:16" s="59" customFormat="1" ht="22.5" customHeight="1" x14ac:dyDescent="0.45">
      <c r="B20" s="63" t="s">
        <v>51</v>
      </c>
      <c r="C20" s="69">
        <f>'資金繰り表データ入力（製造）'!E10</f>
        <v>225</v>
      </c>
      <c r="D20" s="69">
        <f t="shared" si="13"/>
        <v>225</v>
      </c>
      <c r="E20" s="69">
        <f t="shared" si="13"/>
        <v>225</v>
      </c>
      <c r="F20" s="69">
        <f t="shared" si="13"/>
        <v>225</v>
      </c>
      <c r="G20" s="69">
        <f t="shared" si="13"/>
        <v>225</v>
      </c>
      <c r="H20" s="69">
        <f t="shared" si="13"/>
        <v>225</v>
      </c>
      <c r="J20" s="63" t="str">
        <f t="shared" si="8"/>
        <v>支払利息</v>
      </c>
      <c r="K20" s="73">
        <f t="shared" si="8"/>
        <v>225</v>
      </c>
      <c r="L20" s="73">
        <f t="shared" si="14"/>
        <v>225</v>
      </c>
      <c r="M20" s="73">
        <f t="shared" si="11"/>
        <v>225</v>
      </c>
      <c r="N20" s="73">
        <f t="shared" si="11"/>
        <v>225</v>
      </c>
      <c r="O20" s="73">
        <f t="shared" si="11"/>
        <v>225</v>
      </c>
      <c r="P20" s="73">
        <f t="shared" si="11"/>
        <v>225</v>
      </c>
    </row>
    <row r="21" spans="2:16" s="59" customFormat="1" ht="22.5" customHeight="1" x14ac:dyDescent="0.45">
      <c r="B21" s="63" t="s">
        <v>81</v>
      </c>
      <c r="C21" s="69">
        <f>'資金繰り表データ入力（製造）'!E12</f>
        <v>120</v>
      </c>
      <c r="D21" s="69">
        <f t="shared" si="13"/>
        <v>120</v>
      </c>
      <c r="E21" s="69">
        <f t="shared" si="13"/>
        <v>120</v>
      </c>
      <c r="F21" s="69">
        <f t="shared" si="13"/>
        <v>120</v>
      </c>
      <c r="G21" s="69">
        <f t="shared" si="13"/>
        <v>120</v>
      </c>
      <c r="H21" s="69">
        <f t="shared" si="13"/>
        <v>120</v>
      </c>
      <c r="J21" s="63" t="str">
        <f t="shared" si="8"/>
        <v>税金・社会保険料</v>
      </c>
      <c r="K21" s="73">
        <f t="shared" si="8"/>
        <v>120</v>
      </c>
      <c r="L21" s="73">
        <f t="shared" si="14"/>
        <v>120</v>
      </c>
      <c r="M21" s="73">
        <f t="shared" si="11"/>
        <v>120</v>
      </c>
      <c r="N21" s="73">
        <f t="shared" si="11"/>
        <v>120</v>
      </c>
      <c r="O21" s="73">
        <f t="shared" si="11"/>
        <v>120</v>
      </c>
      <c r="P21" s="73">
        <f t="shared" si="11"/>
        <v>120</v>
      </c>
    </row>
    <row r="22" spans="2:16" s="59" customFormat="1" ht="22.5" customHeight="1" x14ac:dyDescent="0.45">
      <c r="B22" s="63" t="s">
        <v>82</v>
      </c>
      <c r="C22" s="69">
        <f>'資金繰り表データ入力（製造）'!E13</f>
        <v>0</v>
      </c>
      <c r="D22" s="69">
        <f t="shared" si="13"/>
        <v>0</v>
      </c>
      <c r="E22" s="69">
        <f t="shared" si="13"/>
        <v>0</v>
      </c>
      <c r="F22" s="69">
        <f t="shared" si="13"/>
        <v>0</v>
      </c>
      <c r="G22" s="69">
        <f t="shared" si="13"/>
        <v>0</v>
      </c>
      <c r="H22" s="69">
        <f t="shared" si="13"/>
        <v>0</v>
      </c>
      <c r="J22" s="63" t="str">
        <f t="shared" si="8"/>
        <v>その他支払経費</v>
      </c>
      <c r="K22" s="73">
        <f t="shared" si="8"/>
        <v>0</v>
      </c>
      <c r="L22" s="73">
        <f t="shared" si="14"/>
        <v>0</v>
      </c>
      <c r="M22" s="73">
        <f t="shared" si="11"/>
        <v>0</v>
      </c>
      <c r="N22" s="73">
        <f t="shared" si="11"/>
        <v>0</v>
      </c>
      <c r="O22" s="73">
        <f t="shared" si="11"/>
        <v>0</v>
      </c>
      <c r="P22" s="73">
        <f t="shared" si="11"/>
        <v>0</v>
      </c>
    </row>
    <row r="23" spans="2:16" s="59" customFormat="1" ht="22.5" customHeight="1" x14ac:dyDescent="0.45">
      <c r="B23" s="90" t="s">
        <v>83</v>
      </c>
      <c r="C23" s="91">
        <f>C14+SUM(C16:C22)</f>
        <v>7865</v>
      </c>
      <c r="D23" s="91">
        <f t="shared" ref="D23:H23" si="15">D14+SUM(D16:D22)</f>
        <v>9255</v>
      </c>
      <c r="E23" s="91">
        <f t="shared" si="15"/>
        <v>9465</v>
      </c>
      <c r="F23" s="91">
        <f t="shared" si="15"/>
        <v>9715</v>
      </c>
      <c r="G23" s="91">
        <f t="shared" si="15"/>
        <v>9905</v>
      </c>
      <c r="H23" s="91">
        <f t="shared" si="15"/>
        <v>10165</v>
      </c>
      <c r="J23" s="90" t="str">
        <f t="shared" si="8"/>
        <v>支出合計</v>
      </c>
      <c r="K23" s="92">
        <f t="shared" ref="K23:P23" si="16">K14+SUM(K16:K22)</f>
        <v>7481</v>
      </c>
      <c r="L23" s="92">
        <f t="shared" si="16"/>
        <v>8603</v>
      </c>
      <c r="M23" s="92">
        <f t="shared" si="16"/>
        <v>8781</v>
      </c>
      <c r="N23" s="92">
        <f t="shared" si="16"/>
        <v>8991</v>
      </c>
      <c r="O23" s="92">
        <f t="shared" si="16"/>
        <v>9153</v>
      </c>
      <c r="P23" s="92">
        <f t="shared" si="16"/>
        <v>9381</v>
      </c>
    </row>
    <row r="24" spans="2:16" s="59" customFormat="1" ht="22.5" customHeight="1" x14ac:dyDescent="0.45">
      <c r="B24" s="90" t="s">
        <v>84</v>
      </c>
      <c r="C24" s="93">
        <f>C10-C23</f>
        <v>-5615</v>
      </c>
      <c r="D24" s="93">
        <f t="shared" ref="D24:H24" si="17">D10-D23</f>
        <v>-1605</v>
      </c>
      <c r="E24" s="93">
        <f t="shared" si="17"/>
        <v>-1315</v>
      </c>
      <c r="F24" s="93">
        <f t="shared" si="17"/>
        <v>-1065</v>
      </c>
      <c r="G24" s="93">
        <f t="shared" si="17"/>
        <v>-755</v>
      </c>
      <c r="H24" s="93">
        <f t="shared" si="17"/>
        <v>-515</v>
      </c>
      <c r="J24" s="90" t="str">
        <f>B24</f>
        <v>当月収支</v>
      </c>
      <c r="K24" s="93">
        <f t="shared" ref="K24:P24" si="18">K10-K23</f>
        <v>-5681</v>
      </c>
      <c r="L24" s="93">
        <f t="shared" si="18"/>
        <v>-2483</v>
      </c>
      <c r="M24" s="93">
        <f t="shared" si="18"/>
        <v>-2261</v>
      </c>
      <c r="N24" s="93">
        <f t="shared" si="18"/>
        <v>-2071</v>
      </c>
      <c r="O24" s="93">
        <f t="shared" si="18"/>
        <v>-1833</v>
      </c>
      <c r="P24" s="93">
        <f t="shared" si="18"/>
        <v>-1661</v>
      </c>
    </row>
    <row r="25" spans="2:16" s="59" customFormat="1" ht="22.5" customHeight="1" x14ac:dyDescent="0.45">
      <c r="B25" s="63" t="s">
        <v>80</v>
      </c>
      <c r="C25" s="69">
        <f>'資金繰り表データ入力（製造）'!E11</f>
        <v>250</v>
      </c>
      <c r="D25" s="69">
        <f>C25</f>
        <v>250</v>
      </c>
      <c r="E25" s="69">
        <f>D25</f>
        <v>250</v>
      </c>
      <c r="F25" s="69">
        <f>E25</f>
        <v>250</v>
      </c>
      <c r="G25" s="69">
        <f>F25</f>
        <v>250</v>
      </c>
      <c r="H25" s="69">
        <f>G25</f>
        <v>250</v>
      </c>
      <c r="J25" s="63" t="str">
        <f>B25</f>
        <v>借入金返済</v>
      </c>
      <c r="K25" s="73">
        <f t="shared" ref="K25:P25" si="19">C25</f>
        <v>250</v>
      </c>
      <c r="L25" s="73">
        <f t="shared" si="19"/>
        <v>250</v>
      </c>
      <c r="M25" s="73">
        <f t="shared" si="19"/>
        <v>250</v>
      </c>
      <c r="N25" s="73">
        <f t="shared" si="19"/>
        <v>250</v>
      </c>
      <c r="O25" s="73">
        <f t="shared" si="19"/>
        <v>250</v>
      </c>
      <c r="P25" s="73">
        <f t="shared" si="19"/>
        <v>250</v>
      </c>
    </row>
    <row r="26" spans="2:16" s="59" customFormat="1" ht="22.5" customHeight="1" x14ac:dyDescent="0.45">
      <c r="B26" s="63" t="s">
        <v>95</v>
      </c>
      <c r="C26" s="69"/>
      <c r="D26" s="69"/>
      <c r="E26" s="69"/>
      <c r="F26" s="69"/>
      <c r="G26" s="69"/>
      <c r="H26" s="69"/>
      <c r="J26" s="63" t="str">
        <f>B26</f>
        <v>借入金調達</v>
      </c>
      <c r="K26" s="73"/>
      <c r="L26" s="73"/>
      <c r="M26" s="73"/>
      <c r="N26" s="73"/>
      <c r="O26" s="73"/>
      <c r="P26" s="73"/>
    </row>
    <row r="27" spans="2:16" s="59" customFormat="1" ht="22.5" customHeight="1" x14ac:dyDescent="0.45">
      <c r="B27" s="77" t="s">
        <v>85</v>
      </c>
      <c r="C27" s="78">
        <f>C6+C24-C25+C26</f>
        <v>24135</v>
      </c>
      <c r="D27" s="78">
        <f t="shared" ref="D27:H27" si="20">D6+D24-D25+D26</f>
        <v>22280</v>
      </c>
      <c r="E27" s="78">
        <f t="shared" si="20"/>
        <v>20715</v>
      </c>
      <c r="F27" s="78">
        <f t="shared" si="20"/>
        <v>19400</v>
      </c>
      <c r="G27" s="78">
        <f t="shared" si="20"/>
        <v>18395</v>
      </c>
      <c r="H27" s="78">
        <f t="shared" si="20"/>
        <v>17630</v>
      </c>
      <c r="J27" s="77" t="str">
        <f t="shared" si="8"/>
        <v>月末現金残高</v>
      </c>
      <c r="K27" s="78">
        <f>K6+K24-K25+K26</f>
        <v>24069</v>
      </c>
      <c r="L27" s="78">
        <f t="shared" ref="L27:P27" si="21">L6+L24-L25+L26</f>
        <v>21336</v>
      </c>
      <c r="M27" s="78">
        <f t="shared" si="21"/>
        <v>18825</v>
      </c>
      <c r="N27" s="78">
        <f t="shared" si="21"/>
        <v>16504</v>
      </c>
      <c r="O27" s="78">
        <f t="shared" si="21"/>
        <v>14421</v>
      </c>
      <c r="P27" s="78">
        <f t="shared" si="21"/>
        <v>12510</v>
      </c>
    </row>
    <row r="32" spans="2:16" x14ac:dyDescent="0.45">
      <c r="B32" s="49" t="s">
        <v>46</v>
      </c>
      <c r="G32" s="49" t="s">
        <v>54</v>
      </c>
      <c r="H32" s="46"/>
      <c r="I32" s="46"/>
      <c r="J32" s="46"/>
    </row>
    <row r="33" spans="2:10" x14ac:dyDescent="0.45">
      <c r="B33" s="79" t="s">
        <v>86</v>
      </c>
      <c r="C33" s="81"/>
      <c r="D33" s="82"/>
      <c r="E33" s="80">
        <f>'資金繰り表データ入力（製造）'!E15</f>
        <v>0.3</v>
      </c>
      <c r="G33" s="83" t="s">
        <v>86</v>
      </c>
      <c r="H33" s="297"/>
      <c r="I33" s="298"/>
      <c r="J33" s="80">
        <f>'資金繰り表データ入力（製造）'!E18</f>
        <v>0.6</v>
      </c>
    </row>
    <row r="34" spans="2:10" x14ac:dyDescent="0.45">
      <c r="B34" s="79" t="s">
        <v>87</v>
      </c>
      <c r="C34" s="83">
        <f>'資金繰り表データ入力（製造）'!G16</f>
        <v>1</v>
      </c>
      <c r="D34" s="83" t="s">
        <v>88</v>
      </c>
      <c r="E34" s="80">
        <f>'資金繰り表データ入力（製造）'!E16</f>
        <v>0.7</v>
      </c>
      <c r="G34" s="83" t="s">
        <v>89</v>
      </c>
      <c r="H34" s="83">
        <f>'資金繰り表データ入力（製造）'!G19</f>
        <v>1</v>
      </c>
      <c r="I34" s="83" t="s">
        <v>88</v>
      </c>
      <c r="J34" s="80">
        <f>'資金繰り表データ入力（製造）'!E19</f>
        <v>0.4</v>
      </c>
    </row>
    <row r="35" spans="2:10" x14ac:dyDescent="0.45">
      <c r="B35" s="79" t="s">
        <v>90</v>
      </c>
      <c r="C35" s="83">
        <f>'資金繰り表データ入力（製造）'!G17</f>
        <v>3</v>
      </c>
      <c r="D35" s="83" t="s">
        <v>88</v>
      </c>
      <c r="E35" s="80">
        <f>'資金繰り表データ入力（製造）'!E17</f>
        <v>0</v>
      </c>
      <c r="G35" s="83" t="s">
        <v>91</v>
      </c>
      <c r="H35" s="83">
        <f>'資金繰り表データ入力（製造）'!G20</f>
        <v>0</v>
      </c>
      <c r="I35" s="83" t="s">
        <v>88</v>
      </c>
      <c r="J35" s="80">
        <f>'資金繰り表データ入力（製造）'!E20</f>
        <v>0</v>
      </c>
    </row>
    <row r="37" spans="2:10" x14ac:dyDescent="0.45">
      <c r="B37" s="49" t="s">
        <v>97</v>
      </c>
      <c r="C37" t="s">
        <v>98</v>
      </c>
    </row>
    <row r="38" spans="2:10" x14ac:dyDescent="0.45">
      <c r="B38" s="49"/>
      <c r="C38" t="s">
        <v>99</v>
      </c>
    </row>
  </sheetData>
  <mergeCells count="4">
    <mergeCell ref="C1:N1"/>
    <mergeCell ref="B4:E4"/>
    <mergeCell ref="J4:M4"/>
    <mergeCell ref="H33:I33"/>
  </mergeCells>
  <phoneticPr fontId="3"/>
  <pageMargins left="0.7" right="0.7" top="0.75" bottom="0.75" header="0.3" footer="0.3"/>
  <pageSetup paperSize="8" scale="9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43B9-75AA-453A-959D-65C5A88E96DD}">
  <sheetPr codeName="Sheet17">
    <pageSetUpPr fitToPage="1"/>
  </sheetPr>
  <dimension ref="A1:Q40"/>
  <sheetViews>
    <sheetView showGridLines="0" view="pageBreakPreview" topLeftCell="A16" zoomScale="30" zoomScaleNormal="50" zoomScaleSheetLayoutView="30" workbookViewId="0">
      <selection activeCell="A2" sqref="A2:A4"/>
    </sheetView>
  </sheetViews>
  <sheetFormatPr defaultRowHeight="18" x14ac:dyDescent="0.45"/>
  <cols>
    <col min="1" max="1" width="32.3984375" customWidth="1"/>
    <col min="2" max="7" width="32.69921875" customWidth="1"/>
    <col min="8" max="10" width="15" customWidth="1"/>
    <col min="11" max="17" width="32.59765625" customWidth="1"/>
    <col min="18" max="19" width="11.09765625" customWidth="1"/>
  </cols>
  <sheetData>
    <row r="1" spans="1:17" ht="14.25" customHeight="1" x14ac:dyDescent="0.45">
      <c r="H1" s="36"/>
      <c r="I1" s="36"/>
      <c r="J1" s="36"/>
    </row>
    <row r="2" spans="1:17" ht="45" customHeight="1" x14ac:dyDescent="0.45">
      <c r="A2" s="302" t="s">
        <v>0</v>
      </c>
      <c r="B2" s="303" t="e">
        <f>#REF!</f>
        <v>#REF!</v>
      </c>
      <c r="C2" s="304"/>
      <c r="D2" s="43" t="s">
        <v>1</v>
      </c>
      <c r="E2" s="43" t="e">
        <f>#REF!</f>
        <v>#REF!</v>
      </c>
      <c r="F2" s="43" t="s">
        <v>2</v>
      </c>
      <c r="G2" s="1" t="e">
        <f>#REF!</f>
        <v>#REF!</v>
      </c>
      <c r="K2" s="309" t="s">
        <v>26</v>
      </c>
      <c r="L2" s="310"/>
      <c r="M2" s="310"/>
      <c r="N2" s="310"/>
      <c r="O2" s="310"/>
      <c r="P2" s="310"/>
      <c r="Q2" s="311"/>
    </row>
    <row r="3" spans="1:17" ht="45" customHeight="1" x14ac:dyDescent="0.45">
      <c r="A3" s="302"/>
      <c r="B3" s="305"/>
      <c r="C3" s="306"/>
      <c r="D3" s="43" t="s">
        <v>3</v>
      </c>
      <c r="E3" s="1" t="s">
        <v>4</v>
      </c>
      <c r="F3" s="43" t="s">
        <v>5</v>
      </c>
      <c r="G3" s="1" t="e">
        <f>#REF!</f>
        <v>#REF!</v>
      </c>
      <c r="K3" s="284"/>
      <c r="L3" s="312"/>
      <c r="M3" s="312"/>
      <c r="N3" s="312"/>
      <c r="O3" s="312"/>
      <c r="P3" s="312"/>
      <c r="Q3" s="285"/>
    </row>
    <row r="4" spans="1:17" ht="45" customHeight="1" x14ac:dyDescent="0.45">
      <c r="A4" s="302"/>
      <c r="B4" s="307"/>
      <c r="C4" s="308"/>
      <c r="D4" s="43" t="s">
        <v>6</v>
      </c>
      <c r="E4" s="1" t="e">
        <f>#REF!</f>
        <v>#REF!</v>
      </c>
      <c r="F4" s="43" t="s">
        <v>7</v>
      </c>
      <c r="G4" s="43" t="e">
        <f>IF(OR(#REF!="□有　□無",#REF!=""),"",IF(#REF!="■有　□無","有", IF(#REF!="□有　■無","無")))</f>
        <v>#REF!</v>
      </c>
      <c r="K4" s="284"/>
      <c r="L4" s="312"/>
      <c r="M4" s="312"/>
      <c r="N4" s="312"/>
      <c r="O4" s="312"/>
      <c r="P4" s="312"/>
      <c r="Q4" s="285"/>
    </row>
    <row r="5" spans="1:17" ht="45" customHeight="1" x14ac:dyDescent="0.45">
      <c r="A5" s="2" t="s">
        <v>8</v>
      </c>
      <c r="B5" s="302"/>
      <c r="C5" s="302"/>
      <c r="D5" s="302"/>
      <c r="E5" s="302"/>
      <c r="F5" s="302"/>
      <c r="G5" s="302"/>
      <c r="K5" s="284"/>
      <c r="L5" s="312"/>
      <c r="M5" s="312"/>
      <c r="N5" s="312"/>
      <c r="O5" s="312"/>
      <c r="P5" s="312"/>
      <c r="Q5" s="285"/>
    </row>
    <row r="6" spans="1:17" ht="45" customHeight="1" x14ac:dyDescent="0.45">
      <c r="A6" s="302" t="s">
        <v>9</v>
      </c>
      <c r="B6" s="302" t="e">
        <f>#REF!</f>
        <v>#REF!</v>
      </c>
      <c r="C6" s="302"/>
      <c r="D6" s="302"/>
      <c r="E6" s="302"/>
      <c r="F6" s="302"/>
      <c r="G6" s="302"/>
      <c r="K6" s="284"/>
      <c r="L6" s="312"/>
      <c r="M6" s="312"/>
      <c r="N6" s="312"/>
      <c r="O6" s="312"/>
      <c r="P6" s="312"/>
      <c r="Q6" s="285"/>
    </row>
    <row r="7" spans="1:17" ht="45" customHeight="1" x14ac:dyDescent="0.45">
      <c r="A7" s="302"/>
      <c r="B7" s="302"/>
      <c r="C7" s="302"/>
      <c r="D7" s="302"/>
      <c r="E7" s="302"/>
      <c r="F7" s="302"/>
      <c r="G7" s="302"/>
      <c r="K7" s="284"/>
      <c r="L7" s="312"/>
      <c r="M7" s="312"/>
      <c r="N7" s="312"/>
      <c r="O7" s="312"/>
      <c r="P7" s="312"/>
      <c r="Q7" s="285"/>
    </row>
    <row r="8" spans="1:17" ht="45" customHeight="1" x14ac:dyDescent="0.45">
      <c r="A8" s="302" t="s">
        <v>10</v>
      </c>
      <c r="B8" s="302" t="e">
        <f>#REF!</f>
        <v>#REF!</v>
      </c>
      <c r="C8" s="302"/>
      <c r="D8" s="302"/>
      <c r="E8" s="302"/>
      <c r="F8" s="302"/>
      <c r="G8" s="302"/>
      <c r="K8" s="284"/>
      <c r="L8" s="312"/>
      <c r="M8" s="312"/>
      <c r="N8" s="312"/>
      <c r="O8" s="312"/>
      <c r="P8" s="312"/>
      <c r="Q8" s="285"/>
    </row>
    <row r="9" spans="1:17" ht="45" customHeight="1" x14ac:dyDescent="0.45">
      <c r="A9" s="302"/>
      <c r="B9" s="302"/>
      <c r="C9" s="302"/>
      <c r="D9" s="302"/>
      <c r="E9" s="302"/>
      <c r="F9" s="302"/>
      <c r="G9" s="302"/>
      <c r="K9" s="284"/>
      <c r="L9" s="312"/>
      <c r="M9" s="312"/>
      <c r="N9" s="312"/>
      <c r="O9" s="312"/>
      <c r="P9" s="312"/>
      <c r="Q9" s="285"/>
    </row>
    <row r="10" spans="1:17" ht="45" customHeight="1" x14ac:dyDescent="0.45">
      <c r="A10" s="302" t="s">
        <v>43</v>
      </c>
      <c r="B10" s="302" t="e">
        <f>#REF!</f>
        <v>#REF!</v>
      </c>
      <c r="C10" s="302"/>
      <c r="D10" s="302"/>
      <c r="E10" s="302"/>
      <c r="F10" s="302"/>
      <c r="G10" s="302"/>
      <c r="K10" s="284"/>
      <c r="L10" s="312"/>
      <c r="M10" s="312"/>
      <c r="N10" s="312"/>
      <c r="O10" s="312"/>
      <c r="P10" s="312"/>
      <c r="Q10" s="285"/>
    </row>
    <row r="11" spans="1:17" ht="45" customHeight="1" x14ac:dyDescent="0.45">
      <c r="A11" s="302"/>
      <c r="B11" s="302"/>
      <c r="C11" s="302"/>
      <c r="D11" s="302"/>
      <c r="E11" s="302"/>
      <c r="F11" s="302"/>
      <c r="G11" s="302"/>
      <c r="K11" s="284"/>
      <c r="L11" s="312"/>
      <c r="M11" s="312"/>
      <c r="N11" s="312"/>
      <c r="O11" s="312"/>
      <c r="P11" s="312"/>
      <c r="Q11" s="285"/>
    </row>
    <row r="12" spans="1:17" ht="45" customHeight="1" x14ac:dyDescent="0.45">
      <c r="A12" s="316" t="s">
        <v>44</v>
      </c>
      <c r="B12" s="302" t="e">
        <f>#REF!</f>
        <v>#REF!</v>
      </c>
      <c r="C12" s="302"/>
      <c r="D12" s="302"/>
      <c r="E12" s="302"/>
      <c r="F12" s="302"/>
      <c r="G12" s="302"/>
      <c r="K12" s="284"/>
      <c r="L12" s="312"/>
      <c r="M12" s="312"/>
      <c r="N12" s="312"/>
      <c r="O12" s="312"/>
      <c r="P12" s="312"/>
      <c r="Q12" s="285"/>
    </row>
    <row r="13" spans="1:17" ht="45" customHeight="1" x14ac:dyDescent="0.45">
      <c r="A13" s="302"/>
      <c r="B13" s="302"/>
      <c r="C13" s="302"/>
      <c r="D13" s="302"/>
      <c r="E13" s="302"/>
      <c r="F13" s="302"/>
      <c r="G13" s="302"/>
      <c r="K13" s="284"/>
      <c r="L13" s="312"/>
      <c r="M13" s="312"/>
      <c r="N13" s="312"/>
      <c r="O13" s="312"/>
      <c r="P13" s="312"/>
      <c r="Q13" s="285"/>
    </row>
    <row r="14" spans="1:17" ht="45" customHeight="1" x14ac:dyDescent="0.45">
      <c r="K14" s="284"/>
      <c r="L14" s="312"/>
      <c r="M14" s="312"/>
      <c r="N14" s="312"/>
      <c r="O14" s="312"/>
      <c r="P14" s="312"/>
      <c r="Q14" s="285"/>
    </row>
    <row r="15" spans="1:17" ht="45" customHeight="1" x14ac:dyDescent="0.45">
      <c r="B15" s="3"/>
      <c r="C15" s="3"/>
      <c r="D15" s="3"/>
      <c r="E15" s="3"/>
      <c r="F15" s="3"/>
      <c r="G15" s="4" t="s">
        <v>11</v>
      </c>
      <c r="H15" s="3"/>
      <c r="I15" s="3"/>
      <c r="J15" s="3"/>
      <c r="K15" s="284"/>
      <c r="L15" s="312"/>
      <c r="M15" s="312"/>
      <c r="N15" s="312"/>
      <c r="O15" s="312"/>
      <c r="P15" s="312"/>
      <c r="Q15" s="285"/>
    </row>
    <row r="16" spans="1:17" ht="60" customHeight="1" x14ac:dyDescent="0.45">
      <c r="A16" s="5" t="s">
        <v>12</v>
      </c>
      <c r="B16" s="6" t="s">
        <v>13</v>
      </c>
      <c r="C16" s="6" t="s">
        <v>14</v>
      </c>
      <c r="D16" s="6" t="s">
        <v>15</v>
      </c>
      <c r="E16" s="6" t="s">
        <v>16</v>
      </c>
      <c r="F16" s="6" t="s">
        <v>17</v>
      </c>
      <c r="G16" s="6" t="s">
        <v>18</v>
      </c>
      <c r="K16" s="284"/>
      <c r="L16" s="312"/>
      <c r="M16" s="312"/>
      <c r="N16" s="312"/>
      <c r="O16" s="312"/>
      <c r="P16" s="312"/>
      <c r="Q16" s="285"/>
    </row>
    <row r="17" spans="1:17" ht="60" customHeight="1" x14ac:dyDescent="0.45">
      <c r="A17" s="7" t="s">
        <v>28</v>
      </c>
      <c r="B17" s="8"/>
      <c r="C17" s="9">
        <f>B38</f>
        <v>0</v>
      </c>
      <c r="D17" s="8">
        <f>C38</f>
        <v>0</v>
      </c>
      <c r="E17" s="9">
        <f>D38</f>
        <v>0</v>
      </c>
      <c r="F17" s="9">
        <f>E38</f>
        <v>0</v>
      </c>
      <c r="G17" s="10">
        <f>F38</f>
        <v>0</v>
      </c>
      <c r="K17" s="284"/>
      <c r="L17" s="312"/>
      <c r="M17" s="312"/>
      <c r="N17" s="312"/>
      <c r="O17" s="312"/>
      <c r="P17" s="312"/>
      <c r="Q17" s="285"/>
    </row>
    <row r="18" spans="1:17" ht="60" customHeight="1" x14ac:dyDescent="0.45">
      <c r="A18" s="11" t="s">
        <v>19</v>
      </c>
      <c r="B18" s="12"/>
      <c r="C18" s="13"/>
      <c r="D18" s="12"/>
      <c r="E18" s="13"/>
      <c r="F18" s="13"/>
      <c r="G18" s="14"/>
      <c r="K18" s="284"/>
      <c r="L18" s="312"/>
      <c r="M18" s="312"/>
      <c r="N18" s="312"/>
      <c r="O18" s="312"/>
      <c r="P18" s="312"/>
      <c r="Q18" s="285"/>
    </row>
    <row r="19" spans="1:17" ht="60" customHeight="1" x14ac:dyDescent="0.45">
      <c r="A19" s="15" t="s">
        <v>29</v>
      </c>
      <c r="B19" s="16"/>
      <c r="C19" s="17"/>
      <c r="D19" s="16"/>
      <c r="E19" s="17"/>
      <c r="F19" s="17"/>
      <c r="G19" s="18"/>
      <c r="K19" s="284"/>
      <c r="L19" s="312"/>
      <c r="M19" s="312"/>
      <c r="N19" s="312"/>
      <c r="O19" s="312"/>
      <c r="P19" s="312"/>
      <c r="Q19" s="285"/>
    </row>
    <row r="20" spans="1:17" ht="60" customHeight="1" x14ac:dyDescent="0.45">
      <c r="A20" s="15" t="s">
        <v>30</v>
      </c>
      <c r="B20" s="16"/>
      <c r="C20" s="17"/>
      <c r="D20" s="16"/>
      <c r="E20" s="17"/>
      <c r="F20" s="17"/>
      <c r="G20" s="18"/>
      <c r="K20" s="284"/>
      <c r="L20" s="312"/>
      <c r="M20" s="312"/>
      <c r="N20" s="312"/>
      <c r="O20" s="312"/>
      <c r="P20" s="312"/>
      <c r="Q20" s="285"/>
    </row>
    <row r="21" spans="1:17" ht="60" customHeight="1" x14ac:dyDescent="0.45">
      <c r="A21" s="19" t="s">
        <v>20</v>
      </c>
      <c r="B21" s="20"/>
      <c r="C21" s="21"/>
      <c r="D21" s="20"/>
      <c r="E21" s="21"/>
      <c r="F21" s="21"/>
      <c r="G21" s="22"/>
      <c r="K21" s="284"/>
      <c r="L21" s="312"/>
      <c r="M21" s="312"/>
      <c r="N21" s="312"/>
      <c r="O21" s="312"/>
      <c r="P21" s="312"/>
      <c r="Q21" s="285"/>
    </row>
    <row r="22" spans="1:17" ht="60" customHeight="1" x14ac:dyDescent="0.45">
      <c r="A22" s="23" t="s">
        <v>21</v>
      </c>
      <c r="B22" s="24">
        <f t="shared" ref="B22:G22" si="0">SUM(B18:B21)</f>
        <v>0</v>
      </c>
      <c r="C22" s="25">
        <f t="shared" si="0"/>
        <v>0</v>
      </c>
      <c r="D22" s="24">
        <f t="shared" si="0"/>
        <v>0</v>
      </c>
      <c r="E22" s="25">
        <f t="shared" si="0"/>
        <v>0</v>
      </c>
      <c r="F22" s="25">
        <f t="shared" si="0"/>
        <v>0</v>
      </c>
      <c r="G22" s="26">
        <f t="shared" si="0"/>
        <v>0</v>
      </c>
      <c r="K22" s="284"/>
      <c r="L22" s="312"/>
      <c r="M22" s="312"/>
      <c r="N22" s="312"/>
      <c r="O22" s="312"/>
      <c r="P22" s="312"/>
      <c r="Q22" s="285"/>
    </row>
    <row r="23" spans="1:17" ht="60" customHeight="1" x14ac:dyDescent="0.45">
      <c r="A23" s="27" t="s">
        <v>22</v>
      </c>
      <c r="B23" s="28"/>
      <c r="C23" s="29"/>
      <c r="D23" s="28"/>
      <c r="E23" s="29"/>
      <c r="F23" s="29"/>
      <c r="G23" s="30"/>
      <c r="K23" s="313"/>
      <c r="L23" s="314"/>
      <c r="M23" s="314"/>
      <c r="N23" s="314"/>
      <c r="O23" s="314"/>
      <c r="P23" s="314"/>
      <c r="Q23" s="315"/>
    </row>
    <row r="24" spans="1:17" ht="60" customHeight="1" x14ac:dyDescent="0.45">
      <c r="A24" s="15" t="s">
        <v>31</v>
      </c>
      <c r="B24" s="16"/>
      <c r="C24" s="17"/>
      <c r="D24" s="16"/>
      <c r="E24" s="17"/>
      <c r="F24" s="17"/>
      <c r="G24" s="18"/>
      <c r="K24" s="284"/>
      <c r="L24" s="312"/>
      <c r="M24" s="312"/>
      <c r="N24" s="312"/>
      <c r="O24" s="312"/>
      <c r="P24" s="312"/>
      <c r="Q24" s="285"/>
    </row>
    <row r="25" spans="1:17" ht="60" customHeight="1" x14ac:dyDescent="0.45">
      <c r="A25" s="15" t="s">
        <v>32</v>
      </c>
      <c r="B25" s="16"/>
      <c r="C25" s="17"/>
      <c r="D25" s="16"/>
      <c r="E25" s="17"/>
      <c r="F25" s="17"/>
      <c r="G25" s="18"/>
      <c r="K25" s="284"/>
      <c r="L25" s="312"/>
      <c r="M25" s="312"/>
      <c r="N25" s="312"/>
      <c r="O25" s="312"/>
      <c r="P25" s="312"/>
      <c r="Q25" s="285"/>
    </row>
    <row r="26" spans="1:17" ht="60" customHeight="1" x14ac:dyDescent="0.45">
      <c r="A26" s="15" t="s">
        <v>23</v>
      </c>
      <c r="B26" s="16"/>
      <c r="C26" s="17"/>
      <c r="D26" s="16"/>
      <c r="E26" s="17"/>
      <c r="F26" s="17"/>
      <c r="G26" s="18"/>
      <c r="K26" s="284"/>
      <c r="L26" s="312"/>
      <c r="M26" s="312"/>
      <c r="N26" s="312"/>
      <c r="O26" s="312"/>
      <c r="P26" s="312"/>
      <c r="Q26" s="285"/>
    </row>
    <row r="27" spans="1:17" ht="60" customHeight="1" x14ac:dyDescent="0.45">
      <c r="A27" s="15" t="s">
        <v>33</v>
      </c>
      <c r="B27" s="16"/>
      <c r="C27" s="17"/>
      <c r="D27" s="16"/>
      <c r="E27" s="17"/>
      <c r="F27" s="17"/>
      <c r="G27" s="18"/>
      <c r="K27" s="284"/>
      <c r="L27" s="312"/>
      <c r="M27" s="312"/>
      <c r="N27" s="312"/>
      <c r="O27" s="312"/>
      <c r="P27" s="312"/>
      <c r="Q27" s="285"/>
    </row>
    <row r="28" spans="1:17" ht="60" customHeight="1" x14ac:dyDescent="0.45">
      <c r="A28" s="15" t="s">
        <v>34</v>
      </c>
      <c r="B28" s="16"/>
      <c r="C28" s="17"/>
      <c r="D28" s="16"/>
      <c r="E28" s="17"/>
      <c r="F28" s="17"/>
      <c r="G28" s="18"/>
      <c r="K28" s="284"/>
      <c r="L28" s="312"/>
      <c r="M28" s="312"/>
      <c r="N28" s="312"/>
      <c r="O28" s="312"/>
      <c r="P28" s="312"/>
      <c r="Q28" s="285"/>
    </row>
    <row r="29" spans="1:17" ht="60" customHeight="1" x14ac:dyDescent="0.45">
      <c r="A29" s="19" t="s">
        <v>35</v>
      </c>
      <c r="B29" s="20"/>
      <c r="C29" s="21"/>
      <c r="D29" s="20"/>
      <c r="E29" s="21"/>
      <c r="F29" s="21"/>
      <c r="G29" s="22"/>
      <c r="K29" s="284"/>
      <c r="L29" s="312"/>
      <c r="M29" s="312"/>
      <c r="N29" s="312"/>
      <c r="O29" s="312"/>
      <c r="P29" s="312"/>
      <c r="Q29" s="285"/>
    </row>
    <row r="30" spans="1:17" ht="60" customHeight="1" x14ac:dyDescent="0.45">
      <c r="A30" s="31" t="s">
        <v>36</v>
      </c>
      <c r="B30" s="8">
        <f t="shared" ref="B30:G30" si="1">SUM(B23:B29)</f>
        <v>0</v>
      </c>
      <c r="C30" s="9">
        <f t="shared" si="1"/>
        <v>0</v>
      </c>
      <c r="D30" s="8">
        <f t="shared" si="1"/>
        <v>0</v>
      </c>
      <c r="E30" s="9">
        <f t="shared" si="1"/>
        <v>0</v>
      </c>
      <c r="F30" s="9">
        <f t="shared" si="1"/>
        <v>0</v>
      </c>
      <c r="G30" s="10">
        <f t="shared" si="1"/>
        <v>0</v>
      </c>
      <c r="K30" s="284"/>
      <c r="L30" s="312"/>
      <c r="M30" s="312"/>
      <c r="N30" s="312"/>
      <c r="O30" s="312"/>
      <c r="P30" s="312"/>
      <c r="Q30" s="285"/>
    </row>
    <row r="31" spans="1:17" ht="60" customHeight="1" x14ac:dyDescent="0.45">
      <c r="A31" s="32" t="s">
        <v>37</v>
      </c>
      <c r="B31" s="33">
        <f t="shared" ref="B31:G31" si="2">B22-B30</f>
        <v>0</v>
      </c>
      <c r="C31" s="34">
        <f t="shared" si="2"/>
        <v>0</v>
      </c>
      <c r="D31" s="33">
        <f t="shared" si="2"/>
        <v>0</v>
      </c>
      <c r="E31" s="34">
        <f t="shared" si="2"/>
        <v>0</v>
      </c>
      <c r="F31" s="34">
        <f t="shared" si="2"/>
        <v>0</v>
      </c>
      <c r="G31" s="35">
        <f t="shared" si="2"/>
        <v>0</v>
      </c>
      <c r="K31" s="284"/>
      <c r="L31" s="312"/>
      <c r="M31" s="312"/>
      <c r="N31" s="312"/>
      <c r="O31" s="312"/>
      <c r="P31" s="312"/>
      <c r="Q31" s="285"/>
    </row>
    <row r="32" spans="1:17" ht="60" customHeight="1" x14ac:dyDescent="0.45">
      <c r="A32" s="31" t="s">
        <v>38</v>
      </c>
      <c r="B32" s="9" t="e">
        <f t="shared" ref="B32:G32" si="3">B22/B30</f>
        <v>#DIV/0!</v>
      </c>
      <c r="C32" s="9" t="e">
        <f t="shared" si="3"/>
        <v>#DIV/0!</v>
      </c>
      <c r="D32" s="9" t="e">
        <f t="shared" si="3"/>
        <v>#DIV/0!</v>
      </c>
      <c r="E32" s="9" t="e">
        <f t="shared" si="3"/>
        <v>#DIV/0!</v>
      </c>
      <c r="F32" s="9" t="e">
        <f t="shared" si="3"/>
        <v>#DIV/0!</v>
      </c>
      <c r="G32" s="9" t="e">
        <f t="shared" si="3"/>
        <v>#DIV/0!</v>
      </c>
      <c r="K32" s="284"/>
      <c r="L32" s="312"/>
      <c r="M32" s="312"/>
      <c r="N32" s="312"/>
      <c r="O32" s="312"/>
      <c r="P32" s="312"/>
      <c r="Q32" s="285"/>
    </row>
    <row r="33" spans="1:17" ht="60" customHeight="1" x14ac:dyDescent="0.45">
      <c r="A33" s="11" t="s">
        <v>24</v>
      </c>
      <c r="B33" s="12"/>
      <c r="C33" s="13"/>
      <c r="D33" s="12"/>
      <c r="E33" s="13"/>
      <c r="F33" s="13"/>
      <c r="G33" s="14"/>
      <c r="K33" s="284"/>
      <c r="L33" s="312"/>
      <c r="M33" s="312"/>
      <c r="N33" s="312"/>
      <c r="O33" s="312"/>
      <c r="P33" s="312"/>
      <c r="Q33" s="285"/>
    </row>
    <row r="34" spans="1:17" ht="60" customHeight="1" x14ac:dyDescent="0.45">
      <c r="A34" s="37" t="s">
        <v>39</v>
      </c>
      <c r="B34" s="38"/>
      <c r="C34" s="34"/>
      <c r="D34" s="38"/>
      <c r="E34" s="34"/>
      <c r="F34" s="34"/>
      <c r="G34" s="35"/>
      <c r="K34" s="284"/>
      <c r="L34" s="312"/>
      <c r="M34" s="312"/>
      <c r="N34" s="312"/>
      <c r="O34" s="312"/>
      <c r="P34" s="312"/>
      <c r="Q34" s="285"/>
    </row>
    <row r="35" spans="1:17" ht="60" customHeight="1" x14ac:dyDescent="0.45">
      <c r="A35" s="39" t="s">
        <v>25</v>
      </c>
      <c r="B35" s="40"/>
      <c r="C35" s="41"/>
      <c r="D35" s="40"/>
      <c r="E35" s="41"/>
      <c r="F35" s="41"/>
      <c r="G35" s="42"/>
      <c r="K35" s="284"/>
      <c r="L35" s="312"/>
      <c r="M35" s="312"/>
      <c r="N35" s="312"/>
      <c r="O35" s="312"/>
      <c r="P35" s="312"/>
      <c r="Q35" s="285"/>
    </row>
    <row r="36" spans="1:17" ht="60" customHeight="1" x14ac:dyDescent="0.45">
      <c r="A36" s="31" t="s">
        <v>40</v>
      </c>
      <c r="B36" s="9">
        <f>B33+B34-B35</f>
        <v>0</v>
      </c>
      <c r="C36" s="9">
        <f t="shared" ref="C36:G36" si="4">C33+C34-C35</f>
        <v>0</v>
      </c>
      <c r="D36" s="9">
        <f t="shared" si="4"/>
        <v>0</v>
      </c>
      <c r="E36" s="9">
        <f t="shared" si="4"/>
        <v>0</v>
      </c>
      <c r="F36" s="9">
        <f t="shared" si="4"/>
        <v>0</v>
      </c>
      <c r="G36" s="9">
        <f t="shared" si="4"/>
        <v>0</v>
      </c>
      <c r="K36" s="284"/>
      <c r="L36" s="312"/>
      <c r="M36" s="312"/>
      <c r="N36" s="312"/>
      <c r="O36" s="312"/>
      <c r="P36" s="312"/>
      <c r="Q36" s="285"/>
    </row>
    <row r="37" spans="1:17" ht="60" customHeight="1" x14ac:dyDescent="0.45">
      <c r="A37" s="32" t="s">
        <v>41</v>
      </c>
      <c r="B37" s="34">
        <f t="shared" ref="B37:G37" si="5">B31+B36</f>
        <v>0</v>
      </c>
      <c r="C37" s="34">
        <f t="shared" si="5"/>
        <v>0</v>
      </c>
      <c r="D37" s="34">
        <f t="shared" si="5"/>
        <v>0</v>
      </c>
      <c r="E37" s="34">
        <f t="shared" si="5"/>
        <v>0</v>
      </c>
      <c r="F37" s="34">
        <f t="shared" si="5"/>
        <v>0</v>
      </c>
      <c r="G37" s="34">
        <f t="shared" si="5"/>
        <v>0</v>
      </c>
      <c r="K37" s="313"/>
      <c r="L37" s="314"/>
      <c r="M37" s="314"/>
      <c r="N37" s="314"/>
      <c r="O37" s="314"/>
      <c r="P37" s="314"/>
      <c r="Q37" s="315"/>
    </row>
    <row r="38" spans="1:17" ht="60" customHeight="1" x14ac:dyDescent="0.45">
      <c r="A38" s="31" t="s">
        <v>42</v>
      </c>
      <c r="B38" s="9">
        <f t="shared" ref="B38:G38" si="6">B17+B37</f>
        <v>0</v>
      </c>
      <c r="C38" s="9">
        <f t="shared" si="6"/>
        <v>0</v>
      </c>
      <c r="D38" s="9">
        <f t="shared" si="6"/>
        <v>0</v>
      </c>
      <c r="E38" s="9">
        <f t="shared" si="6"/>
        <v>0</v>
      </c>
      <c r="F38" s="9">
        <f t="shared" si="6"/>
        <v>0</v>
      </c>
      <c r="G38" s="9">
        <f t="shared" si="6"/>
        <v>0</v>
      </c>
      <c r="K38" s="299" t="s">
        <v>27</v>
      </c>
      <c r="L38" s="300"/>
      <c r="M38" s="300"/>
      <c r="N38" s="300"/>
      <c r="O38" s="300"/>
      <c r="P38" s="300"/>
      <c r="Q38" s="301"/>
    </row>
    <row r="39" spans="1:17" ht="60" customHeight="1" x14ac:dyDescent="0.45"/>
    <row r="40" spans="1:17" ht="60" customHeight="1" x14ac:dyDescent="0.45"/>
  </sheetData>
  <mergeCells count="16">
    <mergeCell ref="K38:Q38"/>
    <mergeCell ref="A2:A4"/>
    <mergeCell ref="B2:C4"/>
    <mergeCell ref="K2:Q23"/>
    <mergeCell ref="B5:C5"/>
    <mergeCell ref="D5:E5"/>
    <mergeCell ref="F5:G5"/>
    <mergeCell ref="A6:A7"/>
    <mergeCell ref="B6:G7"/>
    <mergeCell ref="A8:A9"/>
    <mergeCell ref="B8:G9"/>
    <mergeCell ref="A10:A11"/>
    <mergeCell ref="B10:G11"/>
    <mergeCell ref="A12:A13"/>
    <mergeCell ref="B12:G13"/>
    <mergeCell ref="K24:Q37"/>
  </mergeCells>
  <phoneticPr fontId="3"/>
  <conditionalFormatting sqref="B18:G21 B33:G35 B23:G27 B29:G29">
    <cfRule type="cellIs" dxfId="1" priority="2" operator="equal">
      <formula>""</formula>
    </cfRule>
  </conditionalFormatting>
  <conditionalFormatting sqref="B28:G28">
    <cfRule type="cellIs" dxfId="0" priority="1" operator="equal">
      <formula>""</formula>
    </cfRule>
  </conditionalFormatting>
  <printOptions horizontalCentered="1" verticalCentered="1"/>
  <pageMargins left="0.70866141732283472" right="0.70866141732283472" top="0" bottom="0" header="0" footer="0"/>
  <pageSetup paperSize="8" scale="35" orientation="landscape" r:id="rId1"/>
  <headerFooter>
    <oddHeader>&amp;C&amp;"ＭＳ ゴシック,標準"&amp;36お客様支援シート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777E-1552-4842-B1E3-618AC793122A}">
  <sheetPr codeName="Sheet7">
    <tabColor rgb="FFFF0000"/>
    <pageSetUpPr fitToPage="1"/>
  </sheetPr>
  <dimension ref="B1:S36"/>
  <sheetViews>
    <sheetView view="pageBreakPreview" topLeftCell="A13" zoomScaleNormal="100" zoomScaleSheetLayoutView="100" workbookViewId="0">
      <selection activeCell="D24" sqref="D24"/>
    </sheetView>
  </sheetViews>
  <sheetFormatPr defaultRowHeight="18" x14ac:dyDescent="0.45"/>
  <cols>
    <col min="1" max="1" width="5.19921875" customWidth="1"/>
    <col min="2" max="2" width="17.59765625" style="49" customWidth="1"/>
    <col min="3" max="4" width="11.19921875" style="49" customWidth="1"/>
    <col min="5" max="10" width="11.19921875" customWidth="1"/>
    <col min="11" max="11" width="6.8984375" customWidth="1"/>
    <col min="12" max="12" width="17.59765625" style="49" customWidth="1"/>
    <col min="13" max="18" width="11.19921875" customWidth="1"/>
  </cols>
  <sheetData>
    <row r="1" spans="2:19" ht="29.4" thickBot="1" x14ac:dyDescent="0.5">
      <c r="E1" s="250" t="s">
        <v>96</v>
      </c>
      <c r="F1" s="250"/>
      <c r="G1" s="250"/>
      <c r="H1" s="250"/>
      <c r="I1" s="250"/>
      <c r="J1" s="250"/>
      <c r="K1" s="250"/>
      <c r="L1" s="250"/>
      <c r="M1" s="250"/>
      <c r="N1" s="250"/>
      <c r="O1" s="250"/>
      <c r="P1" s="250"/>
      <c r="Q1" s="50" t="s">
        <v>72</v>
      </c>
      <c r="R1" s="51">
        <v>0.6</v>
      </c>
    </row>
    <row r="2" spans="2:19" s="53" customFormat="1" x14ac:dyDescent="0.45">
      <c r="B2" s="52"/>
      <c r="C2" s="52"/>
      <c r="D2" s="52"/>
      <c r="Q2" s="52"/>
      <c r="R2" s="54"/>
    </row>
    <row r="3" spans="2:19" x14ac:dyDescent="0.45">
      <c r="B3"/>
      <c r="C3"/>
      <c r="D3"/>
      <c r="E3" s="55"/>
      <c r="F3" s="55"/>
      <c r="G3" s="56"/>
      <c r="H3" s="55"/>
      <c r="I3" s="55"/>
      <c r="J3" s="55"/>
      <c r="K3" s="55"/>
      <c r="L3" s="55"/>
      <c r="M3" s="55"/>
      <c r="N3" s="55"/>
      <c r="O3" s="56"/>
      <c r="S3" s="49"/>
    </row>
    <row r="4" spans="2:19" s="59" customFormat="1" ht="22.5" customHeight="1" x14ac:dyDescent="0.45">
      <c r="B4" s="251" t="s">
        <v>73</v>
      </c>
      <c r="C4" s="251"/>
      <c r="D4" s="251"/>
      <c r="E4" s="252"/>
      <c r="F4" s="252"/>
      <c r="G4" s="252"/>
      <c r="H4" s="57"/>
      <c r="I4" s="58"/>
      <c r="J4" s="58"/>
      <c r="K4" s="58"/>
      <c r="L4" s="253" t="s">
        <v>74</v>
      </c>
      <c r="M4" s="253"/>
      <c r="N4" s="253"/>
      <c r="O4" s="253"/>
    </row>
    <row r="5" spans="2:19" s="59" customFormat="1" ht="22.5" customHeight="1" x14ac:dyDescent="0.45">
      <c r="B5" s="60"/>
      <c r="C5" s="61">
        <f ca="1">D5-30</f>
        <v>44986.432305208335</v>
      </c>
      <c r="D5" s="61">
        <f ca="1">E5-30</f>
        <v>45016.432305208335</v>
      </c>
      <c r="E5" s="61">
        <f ca="1">NOW()+30</f>
        <v>45046.432305208335</v>
      </c>
      <c r="F5" s="61">
        <f ca="1">E5+30</f>
        <v>45076.432305208335</v>
      </c>
      <c r="G5" s="61">
        <f t="shared" ref="G5:J5" ca="1" si="0">F5+30</f>
        <v>45106.432305208335</v>
      </c>
      <c r="H5" s="61">
        <f t="shared" ca="1" si="0"/>
        <v>45136.432305208335</v>
      </c>
      <c r="I5" s="61">
        <f t="shared" ca="1" si="0"/>
        <v>45166.432305208335</v>
      </c>
      <c r="J5" s="84">
        <f t="shared" ca="1" si="0"/>
        <v>45196.432305208335</v>
      </c>
      <c r="L5" s="62"/>
      <c r="M5" s="61">
        <f t="shared" ref="M5:P5" ca="1" si="1">E5</f>
        <v>45046.432305208335</v>
      </c>
      <c r="N5" s="61">
        <f t="shared" ca="1" si="1"/>
        <v>45076.432305208335</v>
      </c>
      <c r="O5" s="61">
        <f t="shared" ca="1" si="1"/>
        <v>45106.432305208335</v>
      </c>
      <c r="P5" s="61">
        <f t="shared" ca="1" si="1"/>
        <v>45136.432305208335</v>
      </c>
      <c r="Q5" s="61">
        <f ca="1">I5</f>
        <v>45166.432305208335</v>
      </c>
      <c r="R5" s="84">
        <f ca="1">J5</f>
        <v>45196.432305208335</v>
      </c>
    </row>
    <row r="6" spans="2:19" s="59" customFormat="1" ht="22.5" customHeight="1" x14ac:dyDescent="0.45">
      <c r="B6" s="63" t="s">
        <v>75</v>
      </c>
      <c r="C6" s="126" t="e">
        <f>#REF!</f>
        <v>#REF!</v>
      </c>
      <c r="D6" s="126" t="e">
        <f t="shared" ref="D6:J6" si="2">C28</f>
        <v>#REF!</v>
      </c>
      <c r="E6" s="126" t="e">
        <f t="shared" si="2"/>
        <v>#REF!</v>
      </c>
      <c r="F6" s="126" t="e">
        <f t="shared" si="2"/>
        <v>#REF!</v>
      </c>
      <c r="G6" s="126" t="e">
        <f t="shared" si="2"/>
        <v>#REF!</v>
      </c>
      <c r="H6" s="126" t="e">
        <f t="shared" si="2"/>
        <v>#REF!</v>
      </c>
      <c r="I6" s="126" t="e">
        <f t="shared" si="2"/>
        <v>#REF!</v>
      </c>
      <c r="J6" s="126" t="e">
        <f t="shared" si="2"/>
        <v>#REF!</v>
      </c>
      <c r="K6" s="58"/>
      <c r="L6" s="65" t="str">
        <f>B6</f>
        <v>月初現金残高</v>
      </c>
      <c r="M6" s="126" t="e">
        <f>E6</f>
        <v>#REF!</v>
      </c>
      <c r="N6" s="126" t="e">
        <f>M28</f>
        <v>#REF!</v>
      </c>
      <c r="O6" s="126" t="e">
        <f>N28</f>
        <v>#REF!</v>
      </c>
      <c r="P6" s="108" t="e">
        <f>O28</f>
        <v>#REF!</v>
      </c>
      <c r="Q6" s="108" t="e">
        <f>P28</f>
        <v>#REF!</v>
      </c>
      <c r="R6" s="108" t="e">
        <f>Q28</f>
        <v>#REF!</v>
      </c>
    </row>
    <row r="7" spans="2:19" s="59" customFormat="1" ht="22.5" customHeight="1" x14ac:dyDescent="0.45">
      <c r="B7" s="67"/>
      <c r="C7" s="127"/>
      <c r="D7" s="127"/>
      <c r="E7" s="128"/>
      <c r="F7" s="128"/>
      <c r="G7" s="128"/>
      <c r="H7" s="128"/>
      <c r="I7" s="128"/>
      <c r="J7" s="128"/>
      <c r="K7" s="58"/>
      <c r="L7" s="68"/>
      <c r="M7" s="128"/>
      <c r="N7" s="128"/>
      <c r="O7" s="128"/>
      <c r="P7" s="129"/>
      <c r="Q7" s="129"/>
      <c r="R7" s="129"/>
    </row>
    <row r="8" spans="2:19" s="59" customFormat="1" ht="22.5" customHeight="1" x14ac:dyDescent="0.45">
      <c r="B8" s="62"/>
      <c r="C8" s="130">
        <f ca="1">D8-30</f>
        <v>44986.432305208335</v>
      </c>
      <c r="D8" s="130">
        <f ca="1">E8-30</f>
        <v>45016.432305208335</v>
      </c>
      <c r="E8" s="130">
        <f ca="1">NOW()+30</f>
        <v>45046.432305208335</v>
      </c>
      <c r="F8" s="130">
        <f ca="1">E8+30</f>
        <v>45076.432305208335</v>
      </c>
      <c r="G8" s="130">
        <f t="shared" ref="G8:J8" ca="1" si="3">F8+30</f>
        <v>45106.432305208335</v>
      </c>
      <c r="H8" s="130">
        <f t="shared" ca="1" si="3"/>
        <v>45136.432305208335</v>
      </c>
      <c r="I8" s="130">
        <f t="shared" ca="1" si="3"/>
        <v>45166.432305208335</v>
      </c>
      <c r="J8" s="131">
        <f t="shared" ca="1" si="3"/>
        <v>45196.432305208335</v>
      </c>
      <c r="L8" s="62"/>
      <c r="M8" s="130">
        <f t="shared" ref="M8:P8" ca="1" si="4">E8</f>
        <v>45046.432305208335</v>
      </c>
      <c r="N8" s="130">
        <f t="shared" ca="1" si="4"/>
        <v>45076.432305208335</v>
      </c>
      <c r="O8" s="130">
        <f t="shared" ca="1" si="4"/>
        <v>45106.432305208335</v>
      </c>
      <c r="P8" s="130">
        <f t="shared" ca="1" si="4"/>
        <v>45136.432305208335</v>
      </c>
      <c r="Q8" s="130">
        <f ca="1">I8</f>
        <v>45166.432305208335</v>
      </c>
      <c r="R8" s="131">
        <f ca="1">J8</f>
        <v>45196.432305208335</v>
      </c>
    </row>
    <row r="9" spans="2:19" s="59" customFormat="1" ht="22.5" customHeight="1" x14ac:dyDescent="0.45">
      <c r="B9" s="63" t="s">
        <v>46</v>
      </c>
      <c r="C9" s="103" t="e">
        <f>#REF!</f>
        <v>#REF!</v>
      </c>
      <c r="D9" s="103" t="e">
        <f>#REF!</f>
        <v>#REF!</v>
      </c>
      <c r="E9" s="108" t="e">
        <f>#REF!</f>
        <v>#REF!</v>
      </c>
      <c r="F9" s="108" t="e">
        <f>#REF!</f>
        <v>#REF!</v>
      </c>
      <c r="G9" s="108" t="e">
        <f>#REF!</f>
        <v>#REF!</v>
      </c>
      <c r="H9" s="108" t="e">
        <f>#REF!</f>
        <v>#REF!</v>
      </c>
      <c r="I9" s="108" t="e">
        <f>#REF!</f>
        <v>#REF!</v>
      </c>
      <c r="J9" s="108" t="e">
        <f>#REF!</f>
        <v>#REF!</v>
      </c>
      <c r="L9" s="63" t="str">
        <f>B9</f>
        <v>売上</v>
      </c>
      <c r="M9" s="108" t="e">
        <f t="shared" ref="M9:R9" si="5">E9*$R$1</f>
        <v>#REF!</v>
      </c>
      <c r="N9" s="108" t="e">
        <f>F9*$R$1</f>
        <v>#REF!</v>
      </c>
      <c r="O9" s="108" t="e">
        <f t="shared" si="5"/>
        <v>#REF!</v>
      </c>
      <c r="P9" s="108" t="e">
        <f t="shared" si="5"/>
        <v>#REF!</v>
      </c>
      <c r="Q9" s="108" t="e">
        <f t="shared" si="5"/>
        <v>#REF!</v>
      </c>
      <c r="R9" s="108" t="e">
        <f t="shared" si="5"/>
        <v>#REF!</v>
      </c>
    </row>
    <row r="10" spans="2:19" s="59" customFormat="1" ht="22.5" customHeight="1" x14ac:dyDescent="0.45">
      <c r="B10" s="63" t="s">
        <v>150</v>
      </c>
      <c r="C10" s="103"/>
      <c r="D10" s="103"/>
      <c r="E10" s="108"/>
      <c r="F10" s="108"/>
      <c r="G10" s="108"/>
      <c r="H10" s="108"/>
      <c r="I10" s="108"/>
      <c r="J10" s="108"/>
      <c r="L10" s="63" t="str">
        <f>B10</f>
        <v>その他収入</v>
      </c>
      <c r="M10" s="108">
        <f>C10</f>
        <v>0</v>
      </c>
      <c r="N10" s="108">
        <f t="shared" ref="N10:R10" si="6">D10</f>
        <v>0</v>
      </c>
      <c r="O10" s="108">
        <f t="shared" si="6"/>
        <v>0</v>
      </c>
      <c r="P10" s="108">
        <f t="shared" si="6"/>
        <v>0</v>
      </c>
      <c r="Q10" s="108">
        <f t="shared" si="6"/>
        <v>0</v>
      </c>
      <c r="R10" s="108">
        <f t="shared" si="6"/>
        <v>0</v>
      </c>
    </row>
    <row r="11" spans="2:19" s="59" customFormat="1" ht="22.5" customHeight="1" x14ac:dyDescent="0.45">
      <c r="B11" s="70" t="s">
        <v>151</v>
      </c>
      <c r="C11" s="104" t="e">
        <f>C10+#REF!</f>
        <v>#REF!</v>
      </c>
      <c r="D11" s="104" t="e">
        <f>D10+#REF!</f>
        <v>#REF!</v>
      </c>
      <c r="E11" s="106" t="e">
        <f>E10+#REF!+E9*#REF!</f>
        <v>#REF!</v>
      </c>
      <c r="F11" s="106" t="e">
        <f>F10+#REF!+E9*#REF!+F9*#REF!</f>
        <v>#REF!</v>
      </c>
      <c r="G11" s="106" t="e">
        <f>G10+#REF!+E9*#REF!+F9*#REF!+G9*#REF!</f>
        <v>#REF!</v>
      </c>
      <c r="H11" s="106" t="e">
        <f>H10+#REF!+E9*#REF!+F9*#REF!+G9*#REF!+H9*#REF!</f>
        <v>#REF!</v>
      </c>
      <c r="I11" s="106" t="e">
        <f>I10+#REF!+E9*#REF!+F9*#REF!+G9*#REF!+H9*#REF!+I9*#REF!</f>
        <v>#REF!</v>
      </c>
      <c r="J11" s="106" t="e">
        <f>J10+#REF!+E9*#REF!+F9*#REF!+G9*#REF!+H9*#REF!+I9*#REF!+J9*#REF!</f>
        <v>#REF!</v>
      </c>
      <c r="L11" s="70" t="str">
        <f>B11</f>
        <v>経常収入</v>
      </c>
      <c r="M11" s="106" t="e">
        <f>M10+#REF!+$R$1*(E9*#REF!)</f>
        <v>#REF!</v>
      </c>
      <c r="N11" s="106" t="e">
        <f>N10+#REF!+$R$1*(E9*#REF!+F9*#REF!)</f>
        <v>#REF!</v>
      </c>
      <c r="O11" s="106" t="e">
        <f>O10+#REF!+$R$1*(E9*#REF!+F9*#REF!+G9*#REF!)</f>
        <v>#REF!</v>
      </c>
      <c r="P11" s="106" t="e">
        <f>P10+#REF!+$R$1*(E9*#REF!+F9*#REF!+G9*#REF!+H9*#REF!)</f>
        <v>#REF!</v>
      </c>
      <c r="Q11" s="106" t="e">
        <f>Q10+#REF!+$R$1*(E9*#REF!+F9*#REF!+G9*#REF!+H9*#REF!+I9*#REF!)</f>
        <v>#REF!</v>
      </c>
      <c r="R11" s="106" t="e">
        <f>R10+#REF!+$R$1*(E9*#REF!+F9*#REF!+G9*#REF!+H9*#REF!+I9*#REF!+J9*#REF!)</f>
        <v>#REF!</v>
      </c>
    </row>
    <row r="12" spans="2:19" s="59" customFormat="1" ht="22.5" customHeight="1" x14ac:dyDescent="0.45">
      <c r="B12" s="67"/>
      <c r="C12" s="67"/>
      <c r="D12" s="67"/>
      <c r="E12" s="72"/>
      <c r="F12" s="72"/>
      <c r="G12" s="72"/>
      <c r="H12" s="72"/>
      <c r="I12" s="72"/>
      <c r="J12" s="72"/>
      <c r="L12" s="67"/>
      <c r="M12" s="129"/>
      <c r="N12" s="129"/>
      <c r="O12" s="129"/>
      <c r="P12" s="129"/>
      <c r="Q12" s="129"/>
      <c r="R12" s="129"/>
    </row>
    <row r="13" spans="2:19" s="59" customFormat="1" ht="22.5" customHeight="1" x14ac:dyDescent="0.45">
      <c r="B13" s="62"/>
      <c r="C13" s="61">
        <f ca="1">D13-30</f>
        <v>44986.432305208335</v>
      </c>
      <c r="D13" s="61">
        <f ca="1">E13-30</f>
        <v>45016.432305208335</v>
      </c>
      <c r="E13" s="61">
        <f t="shared" ref="E13:J13" ca="1" si="7">E8</f>
        <v>45046.432305208335</v>
      </c>
      <c r="F13" s="61">
        <f t="shared" ca="1" si="7"/>
        <v>45076.432305208335</v>
      </c>
      <c r="G13" s="61">
        <f t="shared" ca="1" si="7"/>
        <v>45106.432305208335</v>
      </c>
      <c r="H13" s="61">
        <f t="shared" ca="1" si="7"/>
        <v>45136.432305208335</v>
      </c>
      <c r="I13" s="61">
        <f t="shared" ca="1" si="7"/>
        <v>45166.432305208335</v>
      </c>
      <c r="J13" s="84">
        <f t="shared" ca="1" si="7"/>
        <v>45196.432305208335</v>
      </c>
      <c r="L13" s="62"/>
      <c r="M13" s="130">
        <f t="shared" ref="M13:P13" ca="1" si="8">E13</f>
        <v>45046.432305208335</v>
      </c>
      <c r="N13" s="130">
        <f t="shared" ca="1" si="8"/>
        <v>45076.432305208335</v>
      </c>
      <c r="O13" s="130">
        <f t="shared" ca="1" si="8"/>
        <v>45106.432305208335</v>
      </c>
      <c r="P13" s="130">
        <f t="shared" ca="1" si="8"/>
        <v>45136.432305208335</v>
      </c>
      <c r="Q13" s="130">
        <f ca="1">I13</f>
        <v>45166.432305208335</v>
      </c>
      <c r="R13" s="131">
        <f ca="1">J13</f>
        <v>45196.432305208335</v>
      </c>
    </row>
    <row r="14" spans="2:19" s="59" customFormat="1" ht="22.5" customHeight="1" x14ac:dyDescent="0.45">
      <c r="B14" s="63" t="s">
        <v>54</v>
      </c>
      <c r="C14" s="103" t="e">
        <f>#REF!</f>
        <v>#REF!</v>
      </c>
      <c r="D14" s="103" t="e">
        <f>#REF!</f>
        <v>#REF!</v>
      </c>
      <c r="E14" s="108" t="e">
        <f>#REF!</f>
        <v>#REF!</v>
      </c>
      <c r="F14" s="108" t="e">
        <f>#REF!</f>
        <v>#REF!</v>
      </c>
      <c r="G14" s="108" t="e">
        <f>#REF!</f>
        <v>#REF!</v>
      </c>
      <c r="H14" s="108" t="e">
        <f>#REF!</f>
        <v>#REF!</v>
      </c>
      <c r="I14" s="108" t="e">
        <f>#REF!</f>
        <v>#REF!</v>
      </c>
      <c r="J14" s="108" t="e">
        <f>#REF!</f>
        <v>#REF!</v>
      </c>
      <c r="L14" s="63" t="str">
        <f>B14</f>
        <v>仕入</v>
      </c>
      <c r="M14" s="108" t="e">
        <f t="shared" ref="M14:R14" si="9">E14*$R$1</f>
        <v>#REF!</v>
      </c>
      <c r="N14" s="108" t="e">
        <f t="shared" si="9"/>
        <v>#REF!</v>
      </c>
      <c r="O14" s="108" t="e">
        <f t="shared" si="9"/>
        <v>#REF!</v>
      </c>
      <c r="P14" s="108" t="e">
        <f t="shared" si="9"/>
        <v>#REF!</v>
      </c>
      <c r="Q14" s="108" t="e">
        <f t="shared" si="9"/>
        <v>#REF!</v>
      </c>
      <c r="R14" s="108" t="e">
        <f t="shared" si="9"/>
        <v>#REF!</v>
      </c>
    </row>
    <row r="15" spans="2:19" s="59" customFormat="1" ht="22.5" customHeight="1" x14ac:dyDescent="0.45">
      <c r="B15" s="70" t="s">
        <v>77</v>
      </c>
      <c r="C15" s="104" t="e">
        <f>#REF!</f>
        <v>#REF!</v>
      </c>
      <c r="D15" s="104" t="e">
        <f>#REF!</f>
        <v>#REF!</v>
      </c>
      <c r="E15" s="106" t="e">
        <f>#REF!+E14*#REF!</f>
        <v>#REF!</v>
      </c>
      <c r="F15" s="106" t="e">
        <f>#REF!+E14*#REF!+F14*#REF!</f>
        <v>#REF!</v>
      </c>
      <c r="G15" s="106" t="e">
        <f>#REF!+E14*#REF!+F14*#REF!+G14*#REF!</f>
        <v>#REF!</v>
      </c>
      <c r="H15" s="106" t="e">
        <f>#REF!+E14*#REF!+F14*#REF!+G14*#REF!+H14*#REF!</f>
        <v>#REF!</v>
      </c>
      <c r="I15" s="106" t="e">
        <f>#REF!+E14*#REF!+F14*#REF!+G14*#REF!+H14*#REF!+I14*#REF!</f>
        <v>#REF!</v>
      </c>
      <c r="J15" s="106" t="e">
        <f>#REF!+E14*#REF!+F14*#REF!+G14*#REF!+H14*#REF!+I14*#REF!+J14*#REF!</f>
        <v>#REF!</v>
      </c>
      <c r="L15" s="70" t="str">
        <f>B15</f>
        <v>仕入支払</v>
      </c>
      <c r="M15" s="106" t="e">
        <f>#REF!+$R$1*(E14*#REF!)</f>
        <v>#REF!</v>
      </c>
      <c r="N15" s="106" t="e">
        <f>#REF!+$R$1*(E14*#REF!+F14*#REF!)</f>
        <v>#REF!</v>
      </c>
      <c r="O15" s="106" t="e">
        <f>#REF!+$R$1*(E14*#REF!+F14*#REF!+G14*#REF!)</f>
        <v>#REF!</v>
      </c>
      <c r="P15" s="106" t="e">
        <f>#REF!+$R$1*(E14*#REF!+F14*#REF!+G14*#REF!+H14*#REF!)</f>
        <v>#REF!</v>
      </c>
      <c r="Q15" s="106" t="e">
        <f>#REF!+$R$1*(E14*#REF!+F14*#REF!+G14*#REF!+H14*#REF!+I14*#REF!)</f>
        <v>#REF!</v>
      </c>
      <c r="R15" s="106" t="e">
        <f>#REF!+$R$1*(E14*#REF!+F14*#REF!+G14*#REF!+H14*#REF!+I14*#REF!+J14*#REF!)</f>
        <v>#REF!</v>
      </c>
    </row>
    <row r="16" spans="2:19" s="59" customFormat="1" ht="22.5" customHeight="1" x14ac:dyDescent="0.45">
      <c r="B16" s="67"/>
      <c r="C16" s="105"/>
      <c r="D16" s="105"/>
      <c r="E16" s="72"/>
      <c r="F16" s="72"/>
      <c r="G16" s="72"/>
      <c r="H16" s="72"/>
      <c r="I16" s="72"/>
      <c r="J16" s="72"/>
      <c r="L16" s="67"/>
      <c r="M16" s="129"/>
      <c r="N16" s="129"/>
      <c r="O16" s="129"/>
      <c r="P16" s="129"/>
      <c r="Q16" s="129"/>
      <c r="R16" s="129"/>
    </row>
    <row r="17" spans="2:18" s="59" customFormat="1" ht="22.5" customHeight="1" x14ac:dyDescent="0.45">
      <c r="B17" s="63" t="s">
        <v>78</v>
      </c>
      <c r="C17" s="103" t="e">
        <f>#REF!</f>
        <v>#REF!</v>
      </c>
      <c r="D17" s="103" t="e">
        <f>#REF!</f>
        <v>#REF!</v>
      </c>
      <c r="E17" s="108" t="e">
        <f>#REF!</f>
        <v>#REF!</v>
      </c>
      <c r="F17" s="108" t="e">
        <f>E17</f>
        <v>#REF!</v>
      </c>
      <c r="G17" s="108" t="e">
        <f>F17</f>
        <v>#REF!</v>
      </c>
      <c r="H17" s="108" t="e">
        <f t="shared" ref="H17:J17" si="10">G17</f>
        <v>#REF!</v>
      </c>
      <c r="I17" s="108" t="e">
        <f t="shared" si="10"/>
        <v>#REF!</v>
      </c>
      <c r="J17" s="108" t="e">
        <f t="shared" si="10"/>
        <v>#REF!</v>
      </c>
      <c r="L17" s="63" t="str">
        <f t="shared" ref="L17:L28" si="11">B17</f>
        <v>人件費</v>
      </c>
      <c r="M17" s="108" t="e">
        <f>E17</f>
        <v>#REF!</v>
      </c>
      <c r="N17" s="108" t="e">
        <f>F17</f>
        <v>#REF!</v>
      </c>
      <c r="O17" s="108" t="e">
        <f t="shared" ref="O17:R20" si="12">G17</f>
        <v>#REF!</v>
      </c>
      <c r="P17" s="108" t="e">
        <f t="shared" si="12"/>
        <v>#REF!</v>
      </c>
      <c r="Q17" s="108" t="e">
        <f t="shared" si="12"/>
        <v>#REF!</v>
      </c>
      <c r="R17" s="108" t="e">
        <f t="shared" si="12"/>
        <v>#REF!</v>
      </c>
    </row>
    <row r="18" spans="2:18" s="59" customFormat="1" ht="22.5" customHeight="1" x14ac:dyDescent="0.45">
      <c r="B18" s="63" t="s">
        <v>79</v>
      </c>
      <c r="C18" s="103" t="e">
        <f>#REF!</f>
        <v>#REF!</v>
      </c>
      <c r="D18" s="103" t="e">
        <f>#REF!</f>
        <v>#REF!</v>
      </c>
      <c r="E18" s="108" t="e">
        <f>#REF!</f>
        <v>#REF!</v>
      </c>
      <c r="F18" s="108" t="e">
        <f t="shared" ref="F18:J20" si="13">E18</f>
        <v>#REF!</v>
      </c>
      <c r="G18" s="108" t="e">
        <f t="shared" si="13"/>
        <v>#REF!</v>
      </c>
      <c r="H18" s="108" t="e">
        <f t="shared" si="13"/>
        <v>#REF!</v>
      </c>
      <c r="I18" s="108" t="e">
        <f t="shared" si="13"/>
        <v>#REF!</v>
      </c>
      <c r="J18" s="108" t="e">
        <f t="shared" si="13"/>
        <v>#REF!</v>
      </c>
      <c r="L18" s="63" t="str">
        <f t="shared" si="11"/>
        <v>営業経費</v>
      </c>
      <c r="M18" s="108" t="e">
        <f>E18</f>
        <v>#REF!</v>
      </c>
      <c r="N18" s="108" t="e">
        <f t="shared" ref="N18:N20" si="14">F18</f>
        <v>#REF!</v>
      </c>
      <c r="O18" s="108" t="e">
        <f t="shared" si="12"/>
        <v>#REF!</v>
      </c>
      <c r="P18" s="108" t="e">
        <f t="shared" si="12"/>
        <v>#REF!</v>
      </c>
      <c r="Q18" s="108" t="e">
        <f t="shared" si="12"/>
        <v>#REF!</v>
      </c>
      <c r="R18" s="108" t="e">
        <f t="shared" si="12"/>
        <v>#REF!</v>
      </c>
    </row>
    <row r="19" spans="2:18" s="59" customFormat="1" ht="22.5" customHeight="1" x14ac:dyDescent="0.45">
      <c r="B19" s="63" t="s">
        <v>81</v>
      </c>
      <c r="C19" s="103" t="e">
        <f>#REF!</f>
        <v>#REF!</v>
      </c>
      <c r="D19" s="103" t="e">
        <f>#REF!</f>
        <v>#REF!</v>
      </c>
      <c r="E19" s="108" t="e">
        <f>#REF!</f>
        <v>#REF!</v>
      </c>
      <c r="F19" s="108" t="e">
        <f t="shared" si="13"/>
        <v>#REF!</v>
      </c>
      <c r="G19" s="108" t="e">
        <f t="shared" si="13"/>
        <v>#REF!</v>
      </c>
      <c r="H19" s="108" t="e">
        <f t="shared" si="13"/>
        <v>#REF!</v>
      </c>
      <c r="I19" s="108" t="e">
        <f t="shared" si="13"/>
        <v>#REF!</v>
      </c>
      <c r="J19" s="108" t="e">
        <f t="shared" si="13"/>
        <v>#REF!</v>
      </c>
      <c r="L19" s="63" t="str">
        <f t="shared" si="11"/>
        <v>税金・社会保険料</v>
      </c>
      <c r="M19" s="108" t="e">
        <f t="shared" ref="M19:M20" si="15">E19</f>
        <v>#REF!</v>
      </c>
      <c r="N19" s="108" t="e">
        <f t="shared" si="14"/>
        <v>#REF!</v>
      </c>
      <c r="O19" s="108" t="e">
        <f t="shared" si="12"/>
        <v>#REF!</v>
      </c>
      <c r="P19" s="108" t="e">
        <f t="shared" si="12"/>
        <v>#REF!</v>
      </c>
      <c r="Q19" s="108" t="e">
        <f t="shared" si="12"/>
        <v>#REF!</v>
      </c>
      <c r="R19" s="108" t="e">
        <f t="shared" si="12"/>
        <v>#REF!</v>
      </c>
    </row>
    <row r="20" spans="2:18" s="59" customFormat="1" ht="22.5" customHeight="1" x14ac:dyDescent="0.45">
      <c r="B20" s="63" t="s">
        <v>152</v>
      </c>
      <c r="C20" s="103" t="e">
        <f>#REF!</f>
        <v>#REF!</v>
      </c>
      <c r="D20" s="103" t="e">
        <f>#REF!</f>
        <v>#REF!</v>
      </c>
      <c r="E20" s="108" t="e">
        <f>#REF!</f>
        <v>#REF!</v>
      </c>
      <c r="F20" s="108" t="e">
        <f t="shared" si="13"/>
        <v>#REF!</v>
      </c>
      <c r="G20" s="108" t="e">
        <f t="shared" si="13"/>
        <v>#REF!</v>
      </c>
      <c r="H20" s="108" t="e">
        <f t="shared" si="13"/>
        <v>#REF!</v>
      </c>
      <c r="I20" s="108" t="e">
        <f t="shared" si="13"/>
        <v>#REF!</v>
      </c>
      <c r="J20" s="108" t="e">
        <f t="shared" si="13"/>
        <v>#REF!</v>
      </c>
      <c r="L20" s="63" t="str">
        <f t="shared" si="11"/>
        <v>リース・利息・その他</v>
      </c>
      <c r="M20" s="108" t="e">
        <f t="shared" si="15"/>
        <v>#REF!</v>
      </c>
      <c r="N20" s="108" t="e">
        <f t="shared" si="14"/>
        <v>#REF!</v>
      </c>
      <c r="O20" s="108" t="e">
        <f t="shared" si="12"/>
        <v>#REF!</v>
      </c>
      <c r="P20" s="108" t="e">
        <f t="shared" si="12"/>
        <v>#REF!</v>
      </c>
      <c r="Q20" s="108" t="e">
        <f t="shared" si="12"/>
        <v>#REF!</v>
      </c>
      <c r="R20" s="108" t="e">
        <f t="shared" si="12"/>
        <v>#REF!</v>
      </c>
    </row>
    <row r="21" spans="2:18" s="59" customFormat="1" ht="22.5" customHeight="1" x14ac:dyDescent="0.45">
      <c r="B21" s="70" t="s">
        <v>125</v>
      </c>
      <c r="C21" s="124" t="e">
        <f t="shared" ref="C21:J21" si="16">C15+SUM(C17:C20)</f>
        <v>#REF!</v>
      </c>
      <c r="D21" s="124" t="e">
        <f t="shared" si="16"/>
        <v>#REF!</v>
      </c>
      <c r="E21" s="106" t="e">
        <f t="shared" si="16"/>
        <v>#REF!</v>
      </c>
      <c r="F21" s="106" t="e">
        <f t="shared" si="16"/>
        <v>#REF!</v>
      </c>
      <c r="G21" s="106" t="e">
        <f t="shared" si="16"/>
        <v>#REF!</v>
      </c>
      <c r="H21" s="106" t="e">
        <f t="shared" si="16"/>
        <v>#REF!</v>
      </c>
      <c r="I21" s="106" t="e">
        <f t="shared" si="16"/>
        <v>#REF!</v>
      </c>
      <c r="J21" s="106" t="e">
        <f t="shared" si="16"/>
        <v>#REF!</v>
      </c>
      <c r="L21" s="70" t="str">
        <f t="shared" si="11"/>
        <v>経常支出</v>
      </c>
      <c r="M21" s="106" t="e">
        <f t="shared" ref="M21:R21" si="17">M15+SUM(M17:M20)</f>
        <v>#REF!</v>
      </c>
      <c r="N21" s="106" t="e">
        <f t="shared" si="17"/>
        <v>#REF!</v>
      </c>
      <c r="O21" s="106" t="e">
        <f t="shared" si="17"/>
        <v>#REF!</v>
      </c>
      <c r="P21" s="106" t="e">
        <f t="shared" si="17"/>
        <v>#REF!</v>
      </c>
      <c r="Q21" s="106" t="e">
        <f t="shared" si="17"/>
        <v>#REF!</v>
      </c>
      <c r="R21" s="106" t="e">
        <f t="shared" si="17"/>
        <v>#REF!</v>
      </c>
    </row>
    <row r="22" spans="2:18" s="59" customFormat="1" ht="22.5" customHeight="1" x14ac:dyDescent="0.45">
      <c r="B22" s="70" t="s">
        <v>124</v>
      </c>
      <c r="C22" s="106" t="e">
        <f t="shared" ref="C22:J22" si="18">C11-C21</f>
        <v>#REF!</v>
      </c>
      <c r="D22" s="106" t="e">
        <f t="shared" si="18"/>
        <v>#REF!</v>
      </c>
      <c r="E22" s="106" t="e">
        <f t="shared" si="18"/>
        <v>#REF!</v>
      </c>
      <c r="F22" s="106" t="e">
        <f t="shared" si="18"/>
        <v>#REF!</v>
      </c>
      <c r="G22" s="106" t="e">
        <f t="shared" si="18"/>
        <v>#REF!</v>
      </c>
      <c r="H22" s="106" t="e">
        <f t="shared" si="18"/>
        <v>#REF!</v>
      </c>
      <c r="I22" s="106" t="e">
        <f t="shared" si="18"/>
        <v>#REF!</v>
      </c>
      <c r="J22" s="106" t="e">
        <f t="shared" si="18"/>
        <v>#REF!</v>
      </c>
      <c r="L22" s="70" t="str">
        <f t="shared" si="11"/>
        <v>経常収支</v>
      </c>
      <c r="M22" s="106" t="e">
        <f t="shared" ref="M22:R22" si="19">M11-M21</f>
        <v>#REF!</v>
      </c>
      <c r="N22" s="106" t="e">
        <f t="shared" si="19"/>
        <v>#REF!</v>
      </c>
      <c r="O22" s="106" t="e">
        <f t="shared" si="19"/>
        <v>#REF!</v>
      </c>
      <c r="P22" s="106" t="e">
        <f t="shared" si="19"/>
        <v>#REF!</v>
      </c>
      <c r="Q22" s="106" t="e">
        <f t="shared" si="19"/>
        <v>#REF!</v>
      </c>
      <c r="R22" s="106" t="e">
        <f t="shared" si="19"/>
        <v>#REF!</v>
      </c>
    </row>
    <row r="23" spans="2:18" s="59" customFormat="1" ht="22.5" customHeight="1" x14ac:dyDescent="0.45">
      <c r="B23" s="63" t="s">
        <v>95</v>
      </c>
      <c r="C23" s="103"/>
      <c r="D23" s="103"/>
      <c r="E23" s="108"/>
      <c r="F23" s="108"/>
      <c r="G23" s="108"/>
      <c r="H23" s="108"/>
      <c r="I23" s="108"/>
      <c r="J23" s="108"/>
      <c r="L23" s="63" t="str">
        <f t="shared" si="11"/>
        <v>借入金調達</v>
      </c>
      <c r="M23" s="108">
        <f>E23</f>
        <v>0</v>
      </c>
      <c r="N23" s="108">
        <f t="shared" ref="N23:R24" si="20">F23</f>
        <v>0</v>
      </c>
      <c r="O23" s="108">
        <f t="shared" si="20"/>
        <v>0</v>
      </c>
      <c r="P23" s="108">
        <f t="shared" si="20"/>
        <v>0</v>
      </c>
      <c r="Q23" s="108">
        <f t="shared" si="20"/>
        <v>0</v>
      </c>
      <c r="R23" s="108">
        <f t="shared" si="20"/>
        <v>0</v>
      </c>
    </row>
    <row r="24" spans="2:18" s="59" customFormat="1" ht="22.5" customHeight="1" x14ac:dyDescent="0.45">
      <c r="B24" s="63" t="s">
        <v>80</v>
      </c>
      <c r="C24" s="103" t="e">
        <f>#REF!</f>
        <v>#REF!</v>
      </c>
      <c r="D24" s="103" t="e">
        <f>C24</f>
        <v>#REF!</v>
      </c>
      <c r="E24" s="103" t="e">
        <f>D24</f>
        <v>#REF!</v>
      </c>
      <c r="F24" s="103" t="e">
        <f t="shared" ref="F24:I24" si="21">E24</f>
        <v>#REF!</v>
      </c>
      <c r="G24" s="103" t="e">
        <f t="shared" si="21"/>
        <v>#REF!</v>
      </c>
      <c r="H24" s="103" t="e">
        <f t="shared" si="21"/>
        <v>#REF!</v>
      </c>
      <c r="I24" s="103" t="e">
        <f t="shared" si="21"/>
        <v>#REF!</v>
      </c>
      <c r="J24" s="103" t="e">
        <f>I24</f>
        <v>#REF!</v>
      </c>
      <c r="L24" s="63" t="str">
        <f t="shared" si="11"/>
        <v>借入金返済</v>
      </c>
      <c r="M24" s="108" t="e">
        <f>E24</f>
        <v>#REF!</v>
      </c>
      <c r="N24" s="108" t="e">
        <f t="shared" si="20"/>
        <v>#REF!</v>
      </c>
      <c r="O24" s="108" t="e">
        <f t="shared" si="20"/>
        <v>#REF!</v>
      </c>
      <c r="P24" s="108" t="e">
        <f t="shared" si="20"/>
        <v>#REF!</v>
      </c>
      <c r="Q24" s="108" t="e">
        <f t="shared" si="20"/>
        <v>#REF!</v>
      </c>
      <c r="R24" s="108" t="e">
        <f t="shared" si="20"/>
        <v>#REF!</v>
      </c>
    </row>
    <row r="25" spans="2:18" s="59" customFormat="1" ht="22.5" customHeight="1" x14ac:dyDescent="0.45">
      <c r="B25" s="63" t="s">
        <v>148</v>
      </c>
      <c r="C25" s="103"/>
      <c r="D25" s="103"/>
      <c r="E25" s="108"/>
      <c r="F25" s="108"/>
      <c r="G25" s="108"/>
      <c r="H25" s="108"/>
      <c r="I25" s="108"/>
      <c r="J25" s="108"/>
      <c r="L25" s="63" t="str">
        <f t="shared" si="11"/>
        <v>設備投資</v>
      </c>
      <c r="M25" s="108"/>
      <c r="N25" s="108"/>
      <c r="O25" s="108"/>
      <c r="P25" s="108"/>
      <c r="Q25" s="108"/>
      <c r="R25" s="108"/>
    </row>
    <row r="26" spans="2:18" s="59" customFormat="1" ht="22.5" customHeight="1" x14ac:dyDescent="0.45">
      <c r="B26" s="70" t="s">
        <v>153</v>
      </c>
      <c r="C26" s="107" t="e">
        <f>C23-C24+C25</f>
        <v>#REF!</v>
      </c>
      <c r="D26" s="107" t="e">
        <f t="shared" ref="D26:J26" si="22">D23-D24+D25</f>
        <v>#REF!</v>
      </c>
      <c r="E26" s="107" t="e">
        <f t="shared" si="22"/>
        <v>#REF!</v>
      </c>
      <c r="F26" s="107" t="e">
        <f t="shared" si="22"/>
        <v>#REF!</v>
      </c>
      <c r="G26" s="107" t="e">
        <f t="shared" si="22"/>
        <v>#REF!</v>
      </c>
      <c r="H26" s="107" t="e">
        <f t="shared" si="22"/>
        <v>#REF!</v>
      </c>
      <c r="I26" s="107" t="e">
        <f t="shared" si="22"/>
        <v>#REF!</v>
      </c>
      <c r="J26" s="107" t="e">
        <f t="shared" si="22"/>
        <v>#REF!</v>
      </c>
      <c r="L26" s="70" t="str">
        <f t="shared" si="11"/>
        <v>財務収支他</v>
      </c>
      <c r="M26" s="107" t="e">
        <f>M23-M24+M25</f>
        <v>#REF!</v>
      </c>
      <c r="N26" s="107" t="e">
        <f t="shared" ref="N26:R26" si="23">N23-N24+N25</f>
        <v>#REF!</v>
      </c>
      <c r="O26" s="107" t="e">
        <f t="shared" si="23"/>
        <v>#REF!</v>
      </c>
      <c r="P26" s="107" t="e">
        <f t="shared" si="23"/>
        <v>#REF!</v>
      </c>
      <c r="Q26" s="107" t="e">
        <f t="shared" si="23"/>
        <v>#REF!</v>
      </c>
      <c r="R26" s="107" t="e">
        <f t="shared" si="23"/>
        <v>#REF!</v>
      </c>
    </row>
    <row r="27" spans="2:18" s="59" customFormat="1" ht="22.5" customHeight="1" x14ac:dyDescent="0.45">
      <c r="B27" s="70" t="s">
        <v>84</v>
      </c>
      <c r="C27" s="107" t="e">
        <f t="shared" ref="C27:J27" si="24">C22+C26</f>
        <v>#REF!</v>
      </c>
      <c r="D27" s="107" t="e">
        <f t="shared" si="24"/>
        <v>#REF!</v>
      </c>
      <c r="E27" s="107" t="e">
        <f t="shared" si="24"/>
        <v>#REF!</v>
      </c>
      <c r="F27" s="107" t="e">
        <f t="shared" si="24"/>
        <v>#REF!</v>
      </c>
      <c r="G27" s="107" t="e">
        <f t="shared" si="24"/>
        <v>#REF!</v>
      </c>
      <c r="H27" s="107" t="e">
        <f t="shared" si="24"/>
        <v>#REF!</v>
      </c>
      <c r="I27" s="107" t="e">
        <f t="shared" si="24"/>
        <v>#REF!</v>
      </c>
      <c r="J27" s="107" t="e">
        <f t="shared" si="24"/>
        <v>#REF!</v>
      </c>
      <c r="L27" s="70" t="str">
        <f t="shared" si="11"/>
        <v>当月収支</v>
      </c>
      <c r="M27" s="107" t="e">
        <f t="shared" ref="M27:R27" si="25">M22+M26</f>
        <v>#REF!</v>
      </c>
      <c r="N27" s="107" t="e">
        <f t="shared" si="25"/>
        <v>#REF!</v>
      </c>
      <c r="O27" s="107" t="e">
        <f t="shared" si="25"/>
        <v>#REF!</v>
      </c>
      <c r="P27" s="107" t="e">
        <f t="shared" si="25"/>
        <v>#REF!</v>
      </c>
      <c r="Q27" s="107" t="e">
        <f t="shared" si="25"/>
        <v>#REF!</v>
      </c>
      <c r="R27" s="107" t="e">
        <f t="shared" si="25"/>
        <v>#REF!</v>
      </c>
    </row>
    <row r="28" spans="2:18" s="59" customFormat="1" ht="22.5" customHeight="1" x14ac:dyDescent="0.45">
      <c r="B28" s="77" t="s">
        <v>85</v>
      </c>
      <c r="C28" s="125" t="e">
        <f t="shared" ref="C28:J28" si="26">C6+C27</f>
        <v>#REF!</v>
      </c>
      <c r="D28" s="125" t="e">
        <f t="shared" si="26"/>
        <v>#REF!</v>
      </c>
      <c r="E28" s="125" t="e">
        <f t="shared" si="26"/>
        <v>#REF!</v>
      </c>
      <c r="F28" s="125" t="e">
        <f t="shared" si="26"/>
        <v>#REF!</v>
      </c>
      <c r="G28" s="125" t="e">
        <f t="shared" si="26"/>
        <v>#REF!</v>
      </c>
      <c r="H28" s="125" t="e">
        <f t="shared" si="26"/>
        <v>#REF!</v>
      </c>
      <c r="I28" s="125" t="e">
        <f t="shared" si="26"/>
        <v>#REF!</v>
      </c>
      <c r="J28" s="125" t="e">
        <f t="shared" si="26"/>
        <v>#REF!</v>
      </c>
      <c r="L28" s="77" t="str">
        <f t="shared" si="11"/>
        <v>月末現金残高</v>
      </c>
      <c r="M28" s="125" t="e">
        <f t="shared" ref="M28:R28" si="27">M6+M27</f>
        <v>#REF!</v>
      </c>
      <c r="N28" s="125" t="e">
        <f t="shared" si="27"/>
        <v>#REF!</v>
      </c>
      <c r="O28" s="125" t="e">
        <f t="shared" si="27"/>
        <v>#REF!</v>
      </c>
      <c r="P28" s="125" t="e">
        <f t="shared" si="27"/>
        <v>#REF!</v>
      </c>
      <c r="Q28" s="125" t="e">
        <f t="shared" si="27"/>
        <v>#REF!</v>
      </c>
      <c r="R28" s="125" t="e">
        <f t="shared" si="27"/>
        <v>#REF!</v>
      </c>
    </row>
    <row r="33" spans="2:13" x14ac:dyDescent="0.45">
      <c r="I33" s="254"/>
      <c r="J33" s="254"/>
      <c r="K33" s="46"/>
      <c r="L33" s="46"/>
      <c r="M33" s="46"/>
    </row>
    <row r="34" spans="2:13" x14ac:dyDescent="0.45">
      <c r="B34"/>
      <c r="C34"/>
      <c r="D34"/>
      <c r="E34" s="255"/>
      <c r="F34" s="255"/>
      <c r="G34" s="96"/>
      <c r="H34" s="55"/>
      <c r="I34" s="55"/>
      <c r="J34" s="55"/>
      <c r="K34" s="110"/>
      <c r="L34" s="110"/>
      <c r="M34" s="96"/>
    </row>
    <row r="35" spans="2:13" x14ac:dyDescent="0.45">
      <c r="B35"/>
      <c r="C35"/>
      <c r="D35"/>
      <c r="E35" s="55"/>
      <c r="F35" s="55"/>
      <c r="G35" s="96"/>
      <c r="H35" s="55"/>
      <c r="I35" s="55"/>
      <c r="J35" s="55"/>
      <c r="K35" s="55"/>
      <c r="L35" s="55"/>
      <c r="M35" s="96"/>
    </row>
    <row r="36" spans="2:13" x14ac:dyDescent="0.45">
      <c r="B36"/>
      <c r="C36"/>
      <c r="D36"/>
      <c r="E36" s="55"/>
      <c r="F36" s="55"/>
      <c r="G36" s="96"/>
      <c r="H36" s="55"/>
      <c r="I36" s="249"/>
      <c r="J36" s="249"/>
      <c r="K36" s="55"/>
      <c r="L36" s="55"/>
      <c r="M36" s="96"/>
    </row>
  </sheetData>
  <mergeCells count="6">
    <mergeCell ref="I36:J36"/>
    <mergeCell ref="E1:P1"/>
    <mergeCell ref="B4:G4"/>
    <mergeCell ref="L4:O4"/>
    <mergeCell ref="I33:J33"/>
    <mergeCell ref="E34:F34"/>
  </mergeCells>
  <phoneticPr fontId="3"/>
  <pageMargins left="0.7" right="0.7" top="0.75" bottom="0.75" header="0.3" footer="0.3"/>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304AE-4848-4ACD-A34C-0427667B73F0}">
  <sheetPr codeName="Sheet8">
    <tabColor rgb="FFFF0000"/>
    <pageSetUpPr fitToPage="1"/>
  </sheetPr>
  <dimension ref="B1:S38"/>
  <sheetViews>
    <sheetView view="pageBreakPreview" topLeftCell="D25" zoomScaleNormal="55" zoomScaleSheetLayoutView="100" workbookViewId="0">
      <selection activeCell="M2" sqref="M2"/>
    </sheetView>
  </sheetViews>
  <sheetFormatPr defaultRowHeight="18" x14ac:dyDescent="0.45"/>
  <cols>
    <col min="1" max="1" width="6" customWidth="1"/>
    <col min="2" max="2" width="44.8984375" customWidth="1"/>
    <col min="3" max="3" width="95.19921875" bestFit="1" customWidth="1"/>
    <col min="4" max="4" width="6.3984375" customWidth="1"/>
    <col min="6" max="6" width="5.19921875" bestFit="1" customWidth="1"/>
    <col min="7" max="7" width="5.19921875" customWidth="1"/>
    <col min="8" max="8" width="7.09765625" customWidth="1"/>
    <col min="10" max="10" width="5.19921875" bestFit="1" customWidth="1"/>
    <col min="11" max="11" width="5.19921875" customWidth="1"/>
    <col min="12" max="12" width="6.09765625" customWidth="1"/>
    <col min="13" max="13" width="9.69921875" customWidth="1"/>
    <col min="15" max="15" width="5.19921875" bestFit="1" customWidth="1"/>
    <col min="16" max="16" width="5.19921875" customWidth="1"/>
  </cols>
  <sheetData>
    <row r="1" spans="2:19" x14ac:dyDescent="0.45">
      <c r="B1" s="117" t="s">
        <v>165</v>
      </c>
    </row>
    <row r="2" spans="2:19" x14ac:dyDescent="0.45">
      <c r="B2" s="44" t="s">
        <v>126</v>
      </c>
      <c r="C2" t="s">
        <v>128</v>
      </c>
      <c r="D2" s="79" t="s">
        <v>46</v>
      </c>
      <c r="E2" s="45">
        <v>3120</v>
      </c>
      <c r="F2" s="46" t="s">
        <v>45</v>
      </c>
      <c r="G2" s="46"/>
      <c r="H2" s="100" t="s">
        <v>76</v>
      </c>
      <c r="I2" s="45">
        <v>2744</v>
      </c>
      <c r="J2" t="s">
        <v>45</v>
      </c>
      <c r="M2" s="79" t="s">
        <v>54</v>
      </c>
      <c r="N2" s="98">
        <v>1642</v>
      </c>
      <c r="O2" s="46" t="s">
        <v>45</v>
      </c>
      <c r="P2" s="46"/>
      <c r="Q2" s="100" t="s">
        <v>127</v>
      </c>
      <c r="R2" s="98">
        <v>1511</v>
      </c>
      <c r="S2" t="s">
        <v>45</v>
      </c>
    </row>
    <row r="3" spans="2:19" x14ac:dyDescent="0.45">
      <c r="C3" t="s">
        <v>129</v>
      </c>
      <c r="D3" s="79" t="s">
        <v>46</v>
      </c>
      <c r="E3" s="45">
        <v>1985</v>
      </c>
      <c r="F3" s="46" t="s">
        <v>45</v>
      </c>
      <c r="G3" s="46"/>
      <c r="H3" s="100" t="s">
        <v>76</v>
      </c>
      <c r="I3" s="45">
        <v>2350</v>
      </c>
      <c r="J3" t="s">
        <v>45</v>
      </c>
      <c r="M3" s="79" t="s">
        <v>54</v>
      </c>
      <c r="N3" s="98">
        <v>1197</v>
      </c>
      <c r="O3" s="46" t="s">
        <v>45</v>
      </c>
      <c r="P3" s="46"/>
      <c r="Q3" s="100" t="s">
        <v>127</v>
      </c>
      <c r="R3" s="98">
        <v>1011</v>
      </c>
      <c r="S3" t="s">
        <v>45</v>
      </c>
    </row>
    <row r="4" spans="2:19" ht="18.75" customHeight="1" x14ac:dyDescent="0.45">
      <c r="B4" s="44" t="s">
        <v>52</v>
      </c>
      <c r="C4" t="s">
        <v>53</v>
      </c>
      <c r="D4" s="79" t="s">
        <v>46</v>
      </c>
      <c r="E4" s="45">
        <v>2000</v>
      </c>
      <c r="F4" s="46" t="s">
        <v>45</v>
      </c>
      <c r="G4" s="46"/>
      <c r="H4" s="100" t="s">
        <v>54</v>
      </c>
      <c r="I4" s="45">
        <v>1500</v>
      </c>
      <c r="J4" t="s">
        <v>45</v>
      </c>
      <c r="L4" s="109" t="s">
        <v>144</v>
      </c>
      <c r="M4" s="101" t="s">
        <v>132</v>
      </c>
      <c r="N4" s="98">
        <v>600</v>
      </c>
      <c r="O4" s="46" t="s">
        <v>45</v>
      </c>
      <c r="P4" s="46"/>
      <c r="Q4" s="101" t="s">
        <v>138</v>
      </c>
      <c r="R4" s="98">
        <v>300</v>
      </c>
      <c r="S4" t="s">
        <v>45</v>
      </c>
    </row>
    <row r="5" spans="2:19" ht="18.75" customHeight="1" x14ac:dyDescent="0.45">
      <c r="C5" t="s">
        <v>55</v>
      </c>
      <c r="D5" s="79" t="s">
        <v>46</v>
      </c>
      <c r="E5" s="45">
        <v>2500</v>
      </c>
      <c r="F5" s="46" t="s">
        <v>45</v>
      </c>
      <c r="G5" s="46"/>
      <c r="H5" s="100" t="s">
        <v>54</v>
      </c>
      <c r="I5" s="45">
        <v>1200</v>
      </c>
      <c r="J5" t="s">
        <v>45</v>
      </c>
      <c r="L5" s="256" t="s">
        <v>145</v>
      </c>
      <c r="M5" s="101" t="s">
        <v>133</v>
      </c>
      <c r="N5" s="98">
        <v>300</v>
      </c>
      <c r="O5" s="46" t="s">
        <v>45</v>
      </c>
      <c r="P5" s="46"/>
      <c r="Q5" s="101" t="s">
        <v>139</v>
      </c>
      <c r="R5" s="98">
        <v>100</v>
      </c>
      <c r="S5" t="s">
        <v>45</v>
      </c>
    </row>
    <row r="6" spans="2:19" ht="18.75" customHeight="1" x14ac:dyDescent="0.45">
      <c r="C6" t="s">
        <v>56</v>
      </c>
      <c r="D6" s="79" t="s">
        <v>46</v>
      </c>
      <c r="E6" s="45">
        <v>2000</v>
      </c>
      <c r="F6" s="46" t="s">
        <v>45</v>
      </c>
      <c r="G6" s="46"/>
      <c r="H6" s="100" t="s">
        <v>54</v>
      </c>
      <c r="I6" s="45">
        <v>1000</v>
      </c>
      <c r="J6" t="s">
        <v>45</v>
      </c>
      <c r="L6" s="256"/>
      <c r="M6" s="101" t="s">
        <v>134</v>
      </c>
      <c r="N6" s="98"/>
      <c r="O6" s="46" t="s">
        <v>45</v>
      </c>
      <c r="P6" s="46"/>
      <c r="Q6" s="101" t="s">
        <v>140</v>
      </c>
      <c r="R6" s="98"/>
      <c r="S6" t="s">
        <v>45</v>
      </c>
    </row>
    <row r="7" spans="2:19" x14ac:dyDescent="0.45">
      <c r="C7" t="s">
        <v>57</v>
      </c>
      <c r="D7" s="79" t="s">
        <v>46</v>
      </c>
      <c r="E7" s="45">
        <v>3000</v>
      </c>
      <c r="F7" s="46" t="s">
        <v>45</v>
      </c>
      <c r="G7" s="46"/>
      <c r="H7" s="100" t="s">
        <v>54</v>
      </c>
      <c r="I7" s="45">
        <v>1500</v>
      </c>
      <c r="J7" t="s">
        <v>45</v>
      </c>
      <c r="L7" s="256"/>
      <c r="M7" s="101" t="s">
        <v>135</v>
      </c>
      <c r="N7" s="98"/>
      <c r="O7" s="46" t="s">
        <v>45</v>
      </c>
      <c r="P7" s="46"/>
      <c r="Q7" s="101" t="s">
        <v>141</v>
      </c>
      <c r="R7" s="98"/>
      <c r="S7" t="s">
        <v>45</v>
      </c>
    </row>
    <row r="8" spans="2:19" x14ac:dyDescent="0.45">
      <c r="C8" t="s">
        <v>58</v>
      </c>
      <c r="D8" s="79" t="s">
        <v>46</v>
      </c>
      <c r="E8" s="45">
        <v>3000</v>
      </c>
      <c r="F8" s="46" t="s">
        <v>45</v>
      </c>
      <c r="G8" s="46"/>
      <c r="H8" s="100" t="s">
        <v>54</v>
      </c>
      <c r="I8" s="45">
        <v>1500</v>
      </c>
      <c r="J8" t="s">
        <v>45</v>
      </c>
      <c r="L8" s="256"/>
      <c r="M8" s="101" t="s">
        <v>136</v>
      </c>
      <c r="N8" s="98"/>
      <c r="O8" s="46" t="s">
        <v>45</v>
      </c>
      <c r="P8" s="46"/>
      <c r="Q8" s="101" t="s">
        <v>142</v>
      </c>
      <c r="R8" s="98"/>
      <c r="S8" t="s">
        <v>45</v>
      </c>
    </row>
    <row r="9" spans="2:19" x14ac:dyDescent="0.45">
      <c r="C9" t="s">
        <v>59</v>
      </c>
      <c r="D9" s="79" t="s">
        <v>46</v>
      </c>
      <c r="E9" s="45">
        <v>2000</v>
      </c>
      <c r="F9" s="46" t="s">
        <v>45</v>
      </c>
      <c r="G9" s="46"/>
      <c r="H9" s="100" t="s">
        <v>54</v>
      </c>
      <c r="I9" s="45">
        <v>1000</v>
      </c>
      <c r="J9" t="s">
        <v>45</v>
      </c>
      <c r="L9" s="257"/>
      <c r="M9" s="101" t="s">
        <v>137</v>
      </c>
      <c r="N9" s="98"/>
      <c r="O9" s="46" t="s">
        <v>45</v>
      </c>
      <c r="P9" s="46"/>
      <c r="Q9" s="101" t="s">
        <v>143</v>
      </c>
      <c r="R9" s="98"/>
      <c r="S9" t="s">
        <v>45</v>
      </c>
    </row>
    <row r="10" spans="2:19" x14ac:dyDescent="0.45">
      <c r="D10" s="116"/>
      <c r="E10" s="120"/>
      <c r="F10" s="46"/>
      <c r="G10" s="46"/>
      <c r="H10" s="120"/>
      <c r="I10" s="120"/>
      <c r="L10" s="113"/>
      <c r="M10" s="121"/>
      <c r="N10" s="120"/>
      <c r="O10" s="46"/>
      <c r="P10" s="46"/>
      <c r="Q10" s="114"/>
      <c r="R10" s="46"/>
    </row>
    <row r="11" spans="2:19" x14ac:dyDescent="0.45">
      <c r="B11" s="117" t="s">
        <v>167</v>
      </c>
      <c r="E11" s="118"/>
      <c r="F11" s="46"/>
      <c r="G11" s="46"/>
      <c r="H11" s="118"/>
      <c r="I11" s="118"/>
      <c r="L11" s="113"/>
      <c r="M11" s="119"/>
      <c r="N11" s="118"/>
      <c r="O11" s="46"/>
      <c r="P11" s="46"/>
      <c r="Q11" s="114"/>
      <c r="R11" s="46"/>
    </row>
    <row r="12" spans="2:19" ht="18.75" customHeight="1" x14ac:dyDescent="0.45">
      <c r="B12" t="s">
        <v>60</v>
      </c>
      <c r="C12" t="s">
        <v>61</v>
      </c>
      <c r="E12" s="45">
        <v>250</v>
      </c>
      <c r="F12" t="s">
        <v>45</v>
      </c>
      <c r="H12" s="258" t="s">
        <v>130</v>
      </c>
      <c r="I12" s="99">
        <v>250</v>
      </c>
      <c r="J12" t="s">
        <v>45</v>
      </c>
      <c r="M12" s="258" t="s">
        <v>131</v>
      </c>
      <c r="N12" s="45">
        <v>250</v>
      </c>
      <c r="O12" t="s">
        <v>45</v>
      </c>
    </row>
    <row r="13" spans="2:19" x14ac:dyDescent="0.45">
      <c r="C13" t="s">
        <v>171</v>
      </c>
      <c r="E13" s="45">
        <v>700</v>
      </c>
      <c r="F13" t="s">
        <v>45</v>
      </c>
      <c r="H13" s="259"/>
      <c r="I13" s="45">
        <v>700</v>
      </c>
      <c r="J13" t="s">
        <v>45</v>
      </c>
      <c r="M13" s="259"/>
      <c r="N13" s="45">
        <v>700</v>
      </c>
      <c r="O13" t="s">
        <v>45</v>
      </c>
    </row>
    <row r="14" spans="2:19" x14ac:dyDescent="0.45">
      <c r="C14" t="s">
        <v>103</v>
      </c>
      <c r="E14" s="45">
        <v>50</v>
      </c>
      <c r="F14" t="s">
        <v>45</v>
      </c>
      <c r="H14" s="259"/>
      <c r="I14" s="45">
        <v>50</v>
      </c>
      <c r="J14" t="s">
        <v>45</v>
      </c>
      <c r="M14" s="259"/>
      <c r="N14" s="45">
        <v>50</v>
      </c>
      <c r="O14" t="s">
        <v>45</v>
      </c>
    </row>
    <row r="15" spans="2:19" x14ac:dyDescent="0.45">
      <c r="C15" t="s">
        <v>161</v>
      </c>
      <c r="E15" s="45">
        <v>175</v>
      </c>
      <c r="F15" t="s">
        <v>45</v>
      </c>
      <c r="H15" s="259"/>
      <c r="I15" s="45">
        <v>175</v>
      </c>
      <c r="J15" t="s">
        <v>45</v>
      </c>
      <c r="M15" s="259"/>
      <c r="N15" s="45">
        <v>175</v>
      </c>
      <c r="O15" t="s">
        <v>45</v>
      </c>
    </row>
    <row r="16" spans="2:19" x14ac:dyDescent="0.45">
      <c r="B16" s="117" t="s">
        <v>166</v>
      </c>
      <c r="E16" s="115"/>
      <c r="H16" s="259"/>
      <c r="I16" s="97"/>
      <c r="M16" s="259"/>
      <c r="N16" s="97"/>
    </row>
    <row r="17" spans="2:15" x14ac:dyDescent="0.45">
      <c r="B17" t="s">
        <v>170</v>
      </c>
      <c r="C17" t="s">
        <v>64</v>
      </c>
      <c r="E17" s="45">
        <v>250</v>
      </c>
      <c r="F17" t="s">
        <v>45</v>
      </c>
      <c r="H17" s="259"/>
      <c r="I17" s="45">
        <v>250</v>
      </c>
      <c r="J17" t="s">
        <v>45</v>
      </c>
      <c r="M17" s="259"/>
      <c r="N17" s="45">
        <v>250</v>
      </c>
      <c r="O17" t="s">
        <v>45</v>
      </c>
    </row>
    <row r="18" spans="2:15" x14ac:dyDescent="0.45">
      <c r="C18" t="s">
        <v>149</v>
      </c>
      <c r="E18" s="45">
        <v>0</v>
      </c>
      <c r="F18" t="s">
        <v>45</v>
      </c>
      <c r="H18" s="259"/>
      <c r="I18" s="45">
        <v>0</v>
      </c>
      <c r="J18" t="s">
        <v>45</v>
      </c>
      <c r="M18" s="259"/>
      <c r="N18" s="45">
        <v>0</v>
      </c>
      <c r="O18" t="s">
        <v>45</v>
      </c>
    </row>
    <row r="19" spans="2:15" x14ac:dyDescent="0.45">
      <c r="B19" s="117" t="s">
        <v>164</v>
      </c>
      <c r="E19" s="118"/>
      <c r="H19" s="259"/>
      <c r="I19" s="97"/>
      <c r="M19" s="259"/>
      <c r="N19" s="97"/>
    </row>
    <row r="20" spans="2:15" x14ac:dyDescent="0.45">
      <c r="B20" t="s">
        <v>66</v>
      </c>
      <c r="C20" t="s">
        <v>67</v>
      </c>
      <c r="E20" s="97"/>
      <c r="F20" t="s">
        <v>45</v>
      </c>
      <c r="H20" s="260"/>
      <c r="I20" s="45">
        <v>4611</v>
      </c>
      <c r="J20" t="s">
        <v>45</v>
      </c>
      <c r="M20" s="260"/>
      <c r="N20" s="45"/>
      <c r="O20" t="s">
        <v>45</v>
      </c>
    </row>
    <row r="21" spans="2:15" x14ac:dyDescent="0.45">
      <c r="B21" s="117" t="s">
        <v>169</v>
      </c>
      <c r="E21" s="118"/>
      <c r="H21" s="112"/>
      <c r="I21" s="46"/>
      <c r="M21" s="112"/>
      <c r="N21" s="46"/>
    </row>
    <row r="22" spans="2:15" x14ac:dyDescent="0.45">
      <c r="B22" s="248" t="s">
        <v>102</v>
      </c>
      <c r="C22" t="s">
        <v>163</v>
      </c>
      <c r="E22" s="47">
        <v>0.4</v>
      </c>
    </row>
    <row r="23" spans="2:15" x14ac:dyDescent="0.45">
      <c r="B23" s="248"/>
      <c r="C23" t="s">
        <v>162</v>
      </c>
      <c r="E23" s="47">
        <v>0</v>
      </c>
    </row>
    <row r="24" spans="2:15" x14ac:dyDescent="0.45">
      <c r="B24" s="248"/>
      <c r="C24" s="94" t="s">
        <v>157</v>
      </c>
      <c r="E24" s="47">
        <v>0.3</v>
      </c>
    </row>
    <row r="25" spans="2:15" x14ac:dyDescent="0.45">
      <c r="C25" s="94" t="s">
        <v>156</v>
      </c>
      <c r="E25" s="47">
        <v>0.3</v>
      </c>
    </row>
    <row r="26" spans="2:15" x14ac:dyDescent="0.45">
      <c r="C26" s="94" t="s">
        <v>158</v>
      </c>
      <c r="E26" s="47">
        <v>0</v>
      </c>
    </row>
    <row r="27" spans="2:15" x14ac:dyDescent="0.45">
      <c r="C27" s="94" t="s">
        <v>159</v>
      </c>
      <c r="E27" s="47">
        <v>0</v>
      </c>
    </row>
    <row r="28" spans="2:15" x14ac:dyDescent="0.45">
      <c r="B28" s="117" t="s">
        <v>168</v>
      </c>
      <c r="C28" s="94"/>
      <c r="E28" s="123"/>
    </row>
    <row r="29" spans="2:15" x14ac:dyDescent="0.45">
      <c r="B29" s="248" t="s">
        <v>101</v>
      </c>
      <c r="C29" s="94" t="s">
        <v>154</v>
      </c>
      <c r="E29" s="47">
        <v>0.7</v>
      </c>
    </row>
    <row r="30" spans="2:15" x14ac:dyDescent="0.45">
      <c r="B30" s="248"/>
      <c r="C30" s="94" t="s">
        <v>155</v>
      </c>
      <c r="E30" s="47">
        <v>0.3</v>
      </c>
    </row>
    <row r="31" spans="2:15" x14ac:dyDescent="0.45">
      <c r="B31" s="248"/>
      <c r="C31" s="94" t="s">
        <v>157</v>
      </c>
      <c r="E31" s="47">
        <v>0</v>
      </c>
    </row>
    <row r="32" spans="2:15" x14ac:dyDescent="0.45">
      <c r="C32" s="94" t="s">
        <v>156</v>
      </c>
      <c r="E32" s="47">
        <v>0</v>
      </c>
    </row>
    <row r="33" spans="2:5" x14ac:dyDescent="0.45">
      <c r="C33" s="94" t="s">
        <v>160</v>
      </c>
      <c r="E33" s="47">
        <v>0</v>
      </c>
    </row>
    <row r="34" spans="2:5" x14ac:dyDescent="0.45">
      <c r="C34" s="94" t="s">
        <v>159</v>
      </c>
      <c r="E34" s="47">
        <v>0</v>
      </c>
    </row>
    <row r="35" spans="2:5" x14ac:dyDescent="0.45">
      <c r="C35" s="94"/>
      <c r="E35" s="122"/>
    </row>
    <row r="36" spans="2:5" x14ac:dyDescent="0.45">
      <c r="B36" t="s">
        <v>90</v>
      </c>
      <c r="C36" s="94" t="s">
        <v>147</v>
      </c>
    </row>
    <row r="37" spans="2:5" x14ac:dyDescent="0.45">
      <c r="B37" t="s">
        <v>121</v>
      </c>
    </row>
    <row r="38" spans="2:5" x14ac:dyDescent="0.45">
      <c r="B38" t="s">
        <v>146</v>
      </c>
    </row>
  </sheetData>
  <mergeCells count="5">
    <mergeCell ref="L5:L9"/>
    <mergeCell ref="H12:H20"/>
    <mergeCell ref="M12:M20"/>
    <mergeCell ref="B22:B24"/>
    <mergeCell ref="B29:B31"/>
  </mergeCells>
  <phoneticPr fontId="3"/>
  <pageMargins left="0.7" right="0.7" top="0.75" bottom="0.75" header="0.3" footer="0.3"/>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3FF7-5E1F-47DF-A7EB-F7CC73672356}">
  <sheetPr codeName="Sheet10">
    <tabColor rgb="FFFF0000"/>
    <pageSetUpPr fitToPage="1"/>
  </sheetPr>
  <dimension ref="B1:S39"/>
  <sheetViews>
    <sheetView tabSelected="1" view="pageBreakPreview" zoomScale="80" zoomScaleNormal="100" zoomScaleSheetLayoutView="80" workbookViewId="0">
      <selection activeCell="J31" sqref="J31"/>
    </sheetView>
  </sheetViews>
  <sheetFormatPr defaultRowHeight="18" x14ac:dyDescent="0.45"/>
  <cols>
    <col min="1" max="1" width="5.19921875" customWidth="1"/>
    <col min="2" max="2" width="17.59765625" style="49" customWidth="1"/>
    <col min="3" max="4" width="11.19921875" style="49" customWidth="1"/>
    <col min="5" max="10" width="11.19921875" customWidth="1"/>
    <col min="11" max="11" width="6.8984375" customWidth="1"/>
    <col min="12" max="12" width="17.59765625" style="49" customWidth="1"/>
    <col min="13" max="18" width="11.19921875" customWidth="1"/>
  </cols>
  <sheetData>
    <row r="1" spans="2:19" ht="29.4" thickBot="1" x14ac:dyDescent="0.5">
      <c r="E1" s="250" t="s">
        <v>189</v>
      </c>
      <c r="F1" s="250"/>
      <c r="G1" s="250"/>
      <c r="H1" s="250"/>
      <c r="I1" s="250"/>
      <c r="J1" s="250"/>
      <c r="K1" s="250"/>
      <c r="L1" s="250"/>
      <c r="M1" s="250"/>
      <c r="N1" s="250"/>
      <c r="O1" s="250"/>
      <c r="P1" s="261"/>
      <c r="Q1" s="50" t="s">
        <v>72</v>
      </c>
      <c r="R1" s="151">
        <v>0.9</v>
      </c>
    </row>
    <row r="2" spans="2:19" s="53" customFormat="1" x14ac:dyDescent="0.45">
      <c r="B2" s="52"/>
      <c r="C2" s="52"/>
      <c r="D2" s="52"/>
      <c r="Q2" s="52"/>
      <c r="R2" s="54"/>
    </row>
    <row r="3" spans="2:19" x14ac:dyDescent="0.45">
      <c r="B3"/>
      <c r="C3"/>
      <c r="D3"/>
      <c r="E3" s="55"/>
      <c r="F3" s="55"/>
      <c r="G3" s="56"/>
      <c r="H3" s="55"/>
      <c r="I3" s="55"/>
      <c r="J3" s="55"/>
      <c r="K3" s="55"/>
      <c r="L3" s="55"/>
      <c r="M3" s="55"/>
      <c r="N3" s="55"/>
      <c r="O3" s="56"/>
      <c r="S3" s="49"/>
    </row>
    <row r="4" spans="2:19" s="59" customFormat="1" ht="22.5" customHeight="1" x14ac:dyDescent="0.45">
      <c r="B4" s="251" t="s">
        <v>189</v>
      </c>
      <c r="C4" s="251"/>
      <c r="D4" s="251"/>
      <c r="E4" s="252"/>
      <c r="F4" s="252"/>
      <c r="G4" s="252"/>
      <c r="H4" s="57"/>
      <c r="I4" s="263" t="s">
        <v>47</v>
      </c>
      <c r="J4" s="263"/>
      <c r="K4" s="58"/>
      <c r="L4" s="253" t="s">
        <v>190</v>
      </c>
      <c r="M4" s="253"/>
      <c r="N4" s="253"/>
      <c r="O4" s="253"/>
    </row>
    <row r="5" spans="2:19" s="59" customFormat="1" ht="22.5" customHeight="1" x14ac:dyDescent="0.45">
      <c r="B5" s="60"/>
      <c r="C5" s="61">
        <f>EDATE(E5,-2)</f>
        <v>44866</v>
      </c>
      <c r="D5" s="61">
        <f>EDATE(E5,-1)</f>
        <v>44896</v>
      </c>
      <c r="E5" s="61">
        <f>'資金繰り予定表データ入力（製造原価あり）'!B1</f>
        <v>44927</v>
      </c>
      <c r="F5" s="61">
        <f>EDATE(E5,1)</f>
        <v>44958</v>
      </c>
      <c r="G5" s="61">
        <f>EDATE(E5,2)</f>
        <v>44986</v>
      </c>
      <c r="H5" s="61">
        <f>EDATE(E5,3)</f>
        <v>45017</v>
      </c>
      <c r="I5" s="61">
        <f>EDATE(E5,4)</f>
        <v>45047</v>
      </c>
      <c r="J5" s="84">
        <f>EDATE(E5,5)</f>
        <v>45078</v>
      </c>
      <c r="L5" s="62"/>
      <c r="M5" s="61">
        <f t="shared" ref="M5:P5" si="0">E5</f>
        <v>44927</v>
      </c>
      <c r="N5" s="61">
        <f t="shared" si="0"/>
        <v>44958</v>
      </c>
      <c r="O5" s="61">
        <f t="shared" si="0"/>
        <v>44986</v>
      </c>
      <c r="P5" s="61">
        <f t="shared" si="0"/>
        <v>45017</v>
      </c>
      <c r="Q5" s="61">
        <f>I5</f>
        <v>45047</v>
      </c>
      <c r="R5" s="84">
        <f>J5</f>
        <v>45078</v>
      </c>
    </row>
    <row r="6" spans="2:19" s="59" customFormat="1" ht="22.5" customHeight="1" x14ac:dyDescent="0.45">
      <c r="B6" s="63" t="s">
        <v>175</v>
      </c>
      <c r="C6" s="126">
        <f>C31-C30</f>
        <v>0</v>
      </c>
      <c r="D6" s="126">
        <f>D31-D30</f>
        <v>0</v>
      </c>
      <c r="E6" s="126">
        <f t="shared" ref="E6:J6" si="1">D31</f>
        <v>0</v>
      </c>
      <c r="F6" s="126">
        <f t="shared" si="1"/>
        <v>0</v>
      </c>
      <c r="G6" s="126">
        <f t="shared" si="1"/>
        <v>0</v>
      </c>
      <c r="H6" s="126">
        <f t="shared" si="1"/>
        <v>0</v>
      </c>
      <c r="I6" s="126">
        <f t="shared" si="1"/>
        <v>0</v>
      </c>
      <c r="J6" s="126">
        <f t="shared" si="1"/>
        <v>0</v>
      </c>
      <c r="K6" s="58"/>
      <c r="L6" s="65" t="str">
        <f>B6</f>
        <v>月初現預金残高</v>
      </c>
      <c r="M6" s="126">
        <f>E6</f>
        <v>0</v>
      </c>
      <c r="N6" s="126">
        <f>M31</f>
        <v>0</v>
      </c>
      <c r="O6" s="126">
        <f>N31</f>
        <v>0</v>
      </c>
      <c r="P6" s="108">
        <f>O31</f>
        <v>0</v>
      </c>
      <c r="Q6" s="108">
        <f>P31</f>
        <v>0</v>
      </c>
      <c r="R6" s="108">
        <f>Q31</f>
        <v>0</v>
      </c>
    </row>
    <row r="7" spans="2:19" s="59" customFormat="1" ht="22.5" customHeight="1" x14ac:dyDescent="0.45">
      <c r="B7" s="67"/>
      <c r="C7" s="67"/>
      <c r="D7" s="67"/>
      <c r="E7" s="58"/>
      <c r="F7" s="58"/>
      <c r="G7" s="58"/>
      <c r="H7" s="57"/>
      <c r="I7" s="58"/>
      <c r="J7" s="58"/>
      <c r="K7" s="58"/>
      <c r="L7" s="68"/>
      <c r="M7" s="58"/>
      <c r="N7" s="58"/>
      <c r="O7" s="58"/>
    </row>
    <row r="8" spans="2:19" s="59" customFormat="1" ht="22.5" customHeight="1" x14ac:dyDescent="0.45">
      <c r="B8" s="62"/>
      <c r="C8" s="61">
        <f>C5</f>
        <v>44866</v>
      </c>
      <c r="D8" s="61">
        <f t="shared" ref="D8:J8" si="2">D5</f>
        <v>44896</v>
      </c>
      <c r="E8" s="61">
        <f t="shared" si="2"/>
        <v>44927</v>
      </c>
      <c r="F8" s="61">
        <f t="shared" si="2"/>
        <v>44958</v>
      </c>
      <c r="G8" s="61">
        <f t="shared" si="2"/>
        <v>44986</v>
      </c>
      <c r="H8" s="61">
        <f t="shared" si="2"/>
        <v>45017</v>
      </c>
      <c r="I8" s="61">
        <f t="shared" si="2"/>
        <v>45047</v>
      </c>
      <c r="J8" s="61">
        <f t="shared" si="2"/>
        <v>45078</v>
      </c>
      <c r="L8" s="62"/>
      <c r="M8" s="61">
        <f t="shared" ref="M8:P8" si="3">E8</f>
        <v>44927</v>
      </c>
      <c r="N8" s="61">
        <f t="shared" si="3"/>
        <v>44958</v>
      </c>
      <c r="O8" s="61">
        <f t="shared" si="3"/>
        <v>44986</v>
      </c>
      <c r="P8" s="61">
        <f t="shared" si="3"/>
        <v>45017</v>
      </c>
      <c r="Q8" s="61">
        <f>I8</f>
        <v>45047</v>
      </c>
      <c r="R8" s="84">
        <f>J8</f>
        <v>45078</v>
      </c>
    </row>
    <row r="9" spans="2:19" s="59" customFormat="1" ht="22.5" customHeight="1" x14ac:dyDescent="0.45">
      <c r="B9" s="63" t="s">
        <v>200</v>
      </c>
      <c r="C9" s="137">
        <f>'資金繰り予定表データ入力（製造原価あり）'!O9</f>
        <v>0</v>
      </c>
      <c r="D9" s="137">
        <f>'資金繰り予定表データ入力（製造原価あり）'!P9</f>
        <v>0</v>
      </c>
      <c r="E9" s="137">
        <f>'資金繰り予定表データ入力（製造原価あり）'!Q9</f>
        <v>0</v>
      </c>
      <c r="F9" s="137">
        <f>'資金繰り予定表データ入力（製造原価あり）'!R9</f>
        <v>0</v>
      </c>
      <c r="G9" s="137">
        <f>'資金繰り予定表データ入力（製造原価あり）'!S9</f>
        <v>0</v>
      </c>
      <c r="H9" s="137">
        <f>'資金繰り予定表データ入力（製造原価あり）'!T9</f>
        <v>0</v>
      </c>
      <c r="I9" s="137">
        <f>'資金繰り予定表データ入力（製造原価あり）'!U9</f>
        <v>0</v>
      </c>
      <c r="J9" s="137">
        <f>'資金繰り予定表データ入力（製造原価あり）'!V9</f>
        <v>0</v>
      </c>
      <c r="L9" s="63" t="str">
        <f>B9</f>
        <v>売上入金</v>
      </c>
      <c r="M9" s="108">
        <f t="shared" ref="M9:R9" si="4">E9*$R$1</f>
        <v>0</v>
      </c>
      <c r="N9" s="108">
        <f>F9*$R$1</f>
        <v>0</v>
      </c>
      <c r="O9" s="108">
        <f t="shared" si="4"/>
        <v>0</v>
      </c>
      <c r="P9" s="108">
        <f t="shared" si="4"/>
        <v>0</v>
      </c>
      <c r="Q9" s="108">
        <f t="shared" si="4"/>
        <v>0</v>
      </c>
      <c r="R9" s="108">
        <f t="shared" si="4"/>
        <v>0</v>
      </c>
    </row>
    <row r="10" spans="2:19" s="59" customFormat="1" ht="22.5" customHeight="1" x14ac:dyDescent="0.45">
      <c r="B10" s="63" t="s">
        <v>150</v>
      </c>
      <c r="C10" s="137">
        <f>'資金繰り予定表データ入力（製造原価あり）'!D38</f>
        <v>0</v>
      </c>
      <c r="D10" s="137">
        <f>'資金繰り予定表データ入力（製造原価あり）'!E38</f>
        <v>0</v>
      </c>
      <c r="E10" s="137">
        <f>'資金繰り予定表データ入力（製造原価あり）'!F38</f>
        <v>0</v>
      </c>
      <c r="F10" s="137">
        <f>'資金繰り予定表データ入力（製造原価あり）'!G38</f>
        <v>0</v>
      </c>
      <c r="G10" s="137">
        <f>'資金繰り予定表データ入力（製造原価あり）'!H38</f>
        <v>0</v>
      </c>
      <c r="H10" s="137">
        <f>'資金繰り予定表データ入力（製造原価あり）'!I38</f>
        <v>0</v>
      </c>
      <c r="I10" s="137">
        <f>'資金繰り予定表データ入力（製造原価あり）'!J38</f>
        <v>0</v>
      </c>
      <c r="J10" s="137">
        <f>'資金繰り予定表データ入力（製造原価あり）'!K38</f>
        <v>0</v>
      </c>
      <c r="L10" s="63" t="str">
        <f>B10</f>
        <v>その他収入</v>
      </c>
      <c r="M10" s="108">
        <f t="shared" ref="M10:R10" si="5">E10</f>
        <v>0</v>
      </c>
      <c r="N10" s="108">
        <f t="shared" si="5"/>
        <v>0</v>
      </c>
      <c r="O10" s="108">
        <f t="shared" si="5"/>
        <v>0</v>
      </c>
      <c r="P10" s="108">
        <f t="shared" si="5"/>
        <v>0</v>
      </c>
      <c r="Q10" s="108">
        <f t="shared" si="5"/>
        <v>0</v>
      </c>
      <c r="R10" s="108">
        <f t="shared" si="5"/>
        <v>0</v>
      </c>
    </row>
    <row r="11" spans="2:19" s="59" customFormat="1" ht="22.5" customHeight="1" x14ac:dyDescent="0.45">
      <c r="B11" s="70" t="s">
        <v>151</v>
      </c>
      <c r="C11" s="104">
        <f>C9+C10</f>
        <v>0</v>
      </c>
      <c r="D11" s="104">
        <f t="shared" ref="D11:J11" si="6">D9+D10</f>
        <v>0</v>
      </c>
      <c r="E11" s="104">
        <f t="shared" si="6"/>
        <v>0</v>
      </c>
      <c r="F11" s="104">
        <f t="shared" si="6"/>
        <v>0</v>
      </c>
      <c r="G11" s="104">
        <f t="shared" si="6"/>
        <v>0</v>
      </c>
      <c r="H11" s="104">
        <f t="shared" si="6"/>
        <v>0</v>
      </c>
      <c r="I11" s="104">
        <f t="shared" si="6"/>
        <v>0</v>
      </c>
      <c r="J11" s="104">
        <f t="shared" si="6"/>
        <v>0</v>
      </c>
      <c r="L11" s="70" t="str">
        <f>B11</f>
        <v>経常収入</v>
      </c>
      <c r="M11" s="106">
        <f>M9+M10</f>
        <v>0</v>
      </c>
      <c r="N11" s="106">
        <f t="shared" ref="N11:R11" si="7">N9+N10</f>
        <v>0</v>
      </c>
      <c r="O11" s="106">
        <f t="shared" si="7"/>
        <v>0</v>
      </c>
      <c r="P11" s="106">
        <f t="shared" si="7"/>
        <v>0</v>
      </c>
      <c r="Q11" s="106">
        <f t="shared" si="7"/>
        <v>0</v>
      </c>
      <c r="R11" s="106">
        <f t="shared" si="7"/>
        <v>0</v>
      </c>
    </row>
    <row r="12" spans="2:19" s="59" customFormat="1" ht="22.5" customHeight="1" x14ac:dyDescent="0.45">
      <c r="B12" s="67"/>
      <c r="C12" s="67"/>
      <c r="D12" s="67"/>
      <c r="E12" s="72"/>
      <c r="F12" s="72"/>
      <c r="G12" s="72"/>
      <c r="H12" s="72"/>
      <c r="I12" s="72"/>
      <c r="J12" s="72"/>
      <c r="L12" s="67"/>
    </row>
    <row r="13" spans="2:19" s="59" customFormat="1" ht="22.5" customHeight="1" x14ac:dyDescent="0.45">
      <c r="B13" s="62"/>
      <c r="C13" s="61">
        <f>C5</f>
        <v>44866</v>
      </c>
      <c r="D13" s="61">
        <f t="shared" ref="D13:J13" si="8">D5</f>
        <v>44896</v>
      </c>
      <c r="E13" s="61">
        <f t="shared" si="8"/>
        <v>44927</v>
      </c>
      <c r="F13" s="61">
        <f t="shared" si="8"/>
        <v>44958</v>
      </c>
      <c r="G13" s="61">
        <f t="shared" si="8"/>
        <v>44986</v>
      </c>
      <c r="H13" s="61">
        <f t="shared" si="8"/>
        <v>45017</v>
      </c>
      <c r="I13" s="61">
        <f t="shared" si="8"/>
        <v>45047</v>
      </c>
      <c r="J13" s="61">
        <f t="shared" si="8"/>
        <v>45078</v>
      </c>
      <c r="L13" s="62"/>
      <c r="M13" s="61">
        <f t="shared" ref="M13:P13" si="9">E13</f>
        <v>44927</v>
      </c>
      <c r="N13" s="61">
        <f t="shared" si="9"/>
        <v>44958</v>
      </c>
      <c r="O13" s="61">
        <f t="shared" si="9"/>
        <v>44986</v>
      </c>
      <c r="P13" s="61">
        <f t="shared" si="9"/>
        <v>45017</v>
      </c>
      <c r="Q13" s="61">
        <f>I13</f>
        <v>45047</v>
      </c>
      <c r="R13" s="84">
        <f>J13</f>
        <v>45078</v>
      </c>
    </row>
    <row r="14" spans="2:19" s="59" customFormat="1" ht="22.5" customHeight="1" x14ac:dyDescent="0.45">
      <c r="B14" s="63" t="s">
        <v>77</v>
      </c>
      <c r="C14" s="137">
        <f>'資金繰り予定表データ入力（製造原価あり）'!O18</f>
        <v>0</v>
      </c>
      <c r="D14" s="137">
        <f>'資金繰り予定表データ入力（製造原価あり）'!P18</f>
        <v>0</v>
      </c>
      <c r="E14" s="137">
        <f>'資金繰り予定表データ入力（製造原価あり）'!Q18</f>
        <v>0</v>
      </c>
      <c r="F14" s="137">
        <f>'資金繰り予定表データ入力（製造原価あり）'!R18</f>
        <v>0</v>
      </c>
      <c r="G14" s="137">
        <f>'資金繰り予定表データ入力（製造原価あり）'!S18</f>
        <v>0</v>
      </c>
      <c r="H14" s="137">
        <f>'資金繰り予定表データ入力（製造原価あり）'!T18</f>
        <v>0</v>
      </c>
      <c r="I14" s="137">
        <f>'資金繰り予定表データ入力（製造原価あり）'!U18</f>
        <v>0</v>
      </c>
      <c r="J14" s="137">
        <f>'資金繰り予定表データ入力（製造原価あり）'!V18</f>
        <v>0</v>
      </c>
      <c r="L14" s="63" t="str">
        <f>B14</f>
        <v>仕入支払</v>
      </c>
      <c r="M14" s="108">
        <f t="shared" ref="M14:R14" si="10">E14*$R$1</f>
        <v>0</v>
      </c>
      <c r="N14" s="108">
        <f t="shared" si="10"/>
        <v>0</v>
      </c>
      <c r="O14" s="108">
        <f t="shared" si="10"/>
        <v>0</v>
      </c>
      <c r="P14" s="108">
        <f t="shared" si="10"/>
        <v>0</v>
      </c>
      <c r="Q14" s="108">
        <f t="shared" si="10"/>
        <v>0</v>
      </c>
      <c r="R14" s="108">
        <f t="shared" si="10"/>
        <v>0</v>
      </c>
    </row>
    <row r="15" spans="2:19" s="59" customFormat="1" ht="22.5" customHeight="1" x14ac:dyDescent="0.45">
      <c r="B15" s="70" t="s">
        <v>77</v>
      </c>
      <c r="C15" s="104">
        <f>C14</f>
        <v>0</v>
      </c>
      <c r="D15" s="104">
        <f t="shared" ref="D15:J15" si="11">D14</f>
        <v>0</v>
      </c>
      <c r="E15" s="104">
        <f t="shared" si="11"/>
        <v>0</v>
      </c>
      <c r="F15" s="104">
        <f t="shared" si="11"/>
        <v>0</v>
      </c>
      <c r="G15" s="104">
        <f t="shared" si="11"/>
        <v>0</v>
      </c>
      <c r="H15" s="104">
        <f t="shared" si="11"/>
        <v>0</v>
      </c>
      <c r="I15" s="104">
        <f t="shared" si="11"/>
        <v>0</v>
      </c>
      <c r="J15" s="104">
        <f t="shared" si="11"/>
        <v>0</v>
      </c>
      <c r="L15" s="70" t="str">
        <f>B15</f>
        <v>仕入支払</v>
      </c>
      <c r="M15" s="106">
        <f>M14</f>
        <v>0</v>
      </c>
      <c r="N15" s="106">
        <f t="shared" ref="N15:R15" si="12">N14</f>
        <v>0</v>
      </c>
      <c r="O15" s="106">
        <f t="shared" si="12"/>
        <v>0</v>
      </c>
      <c r="P15" s="106">
        <f t="shared" si="12"/>
        <v>0</v>
      </c>
      <c r="Q15" s="106">
        <f t="shared" si="12"/>
        <v>0</v>
      </c>
      <c r="R15" s="106">
        <f t="shared" si="12"/>
        <v>0</v>
      </c>
    </row>
    <row r="16" spans="2:19" s="59" customFormat="1" ht="22.5" customHeight="1" x14ac:dyDescent="0.45">
      <c r="B16" s="67"/>
      <c r="C16" s="132"/>
      <c r="D16" s="132"/>
      <c r="E16" s="133"/>
      <c r="F16" s="133"/>
      <c r="G16" s="133"/>
      <c r="H16" s="133"/>
      <c r="I16" s="133"/>
      <c r="J16" s="133"/>
      <c r="L16" s="67"/>
      <c r="M16" s="133"/>
      <c r="N16" s="133"/>
      <c r="O16" s="133"/>
      <c r="P16" s="133"/>
      <c r="Q16" s="133"/>
      <c r="R16" s="133"/>
    </row>
    <row r="17" spans="2:18" s="59" customFormat="1" ht="22.5" customHeight="1" x14ac:dyDescent="0.45">
      <c r="B17" s="63" t="s">
        <v>48</v>
      </c>
      <c r="C17" s="134">
        <f>'資金繰り予定表データ入力（製造原価あり）'!D43</f>
        <v>0</v>
      </c>
      <c r="D17" s="134">
        <f>'資金繰り予定表データ入力（製造原価あり）'!E43</f>
        <v>0</v>
      </c>
      <c r="E17" s="134">
        <f>'資金繰り予定表データ入力（製造原価あり）'!F43</f>
        <v>0</v>
      </c>
      <c r="F17" s="134">
        <f>'資金繰り予定表データ入力（製造原価あり）'!G43</f>
        <v>0</v>
      </c>
      <c r="G17" s="134">
        <f>'資金繰り予定表データ入力（製造原価あり）'!H43</f>
        <v>0</v>
      </c>
      <c r="H17" s="134">
        <f>'資金繰り予定表データ入力（製造原価あり）'!I43</f>
        <v>0</v>
      </c>
      <c r="I17" s="134">
        <f>'資金繰り予定表データ入力（製造原価あり）'!J43</f>
        <v>0</v>
      </c>
      <c r="J17" s="134">
        <f>'資金繰り予定表データ入力（製造原価あり）'!K43</f>
        <v>0</v>
      </c>
      <c r="L17" s="63" t="str">
        <f>B17</f>
        <v>外注費</v>
      </c>
      <c r="M17" s="111">
        <f>E17*$R$1</f>
        <v>0</v>
      </c>
      <c r="N17" s="111">
        <f t="shared" ref="N17:R17" si="13">F17*$R$1</f>
        <v>0</v>
      </c>
      <c r="O17" s="111">
        <f t="shared" si="13"/>
        <v>0</v>
      </c>
      <c r="P17" s="111">
        <f t="shared" si="13"/>
        <v>0</v>
      </c>
      <c r="Q17" s="111">
        <f t="shared" si="13"/>
        <v>0</v>
      </c>
      <c r="R17" s="111">
        <f t="shared" si="13"/>
        <v>0</v>
      </c>
    </row>
    <row r="18" spans="2:18" s="59" customFormat="1" ht="22.5" customHeight="1" x14ac:dyDescent="0.45">
      <c r="B18" s="63" t="s">
        <v>50</v>
      </c>
      <c r="C18" s="103">
        <f>'資金繰り予定表データ入力（製造原価あり）'!D44</f>
        <v>0</v>
      </c>
      <c r="D18" s="103">
        <f>'資金繰り予定表データ入力（製造原価あり）'!E44</f>
        <v>0</v>
      </c>
      <c r="E18" s="103">
        <f>'資金繰り予定表データ入力（製造原価あり）'!F44</f>
        <v>0</v>
      </c>
      <c r="F18" s="103">
        <f>'資金繰り予定表データ入力（製造原価あり）'!G44</f>
        <v>0</v>
      </c>
      <c r="G18" s="103">
        <f>'資金繰り予定表データ入力（製造原価あり）'!H44</f>
        <v>0</v>
      </c>
      <c r="H18" s="103">
        <f>'資金繰り予定表データ入力（製造原価あり）'!I44</f>
        <v>0</v>
      </c>
      <c r="I18" s="103">
        <f>'資金繰り予定表データ入力（製造原価あり）'!J44</f>
        <v>0</v>
      </c>
      <c r="J18" s="103">
        <f>'資金繰り予定表データ入力（製造原価あり）'!K44</f>
        <v>0</v>
      </c>
      <c r="L18" s="63" t="str">
        <f>B18</f>
        <v>労務費</v>
      </c>
      <c r="M18" s="111">
        <f t="shared" ref="M18:R22" si="14">E18</f>
        <v>0</v>
      </c>
      <c r="N18" s="111">
        <f t="shared" si="14"/>
        <v>0</v>
      </c>
      <c r="O18" s="111">
        <f t="shared" si="14"/>
        <v>0</v>
      </c>
      <c r="P18" s="111">
        <f t="shared" si="14"/>
        <v>0</v>
      </c>
      <c r="Q18" s="111">
        <f t="shared" si="14"/>
        <v>0</v>
      </c>
      <c r="R18" s="111">
        <f t="shared" si="14"/>
        <v>0</v>
      </c>
    </row>
    <row r="19" spans="2:18" s="59" customFormat="1" ht="22.5" customHeight="1" x14ac:dyDescent="0.45">
      <c r="B19" s="63" t="s">
        <v>78</v>
      </c>
      <c r="C19" s="103">
        <f>'資金繰り予定表データ入力（製造原価あり）'!D45</f>
        <v>0</v>
      </c>
      <c r="D19" s="103">
        <f>'資金繰り予定表データ入力（製造原価あり）'!E45</f>
        <v>0</v>
      </c>
      <c r="E19" s="103">
        <f>'資金繰り予定表データ入力（製造原価あり）'!F45</f>
        <v>0</v>
      </c>
      <c r="F19" s="103">
        <f>'資金繰り予定表データ入力（製造原価あり）'!G45</f>
        <v>0</v>
      </c>
      <c r="G19" s="103">
        <f>'資金繰り予定表データ入力（製造原価あり）'!H45</f>
        <v>0</v>
      </c>
      <c r="H19" s="103">
        <f>'資金繰り予定表データ入力（製造原価あり）'!I45</f>
        <v>0</v>
      </c>
      <c r="I19" s="103">
        <f>'資金繰り予定表データ入力（製造原価あり）'!J45</f>
        <v>0</v>
      </c>
      <c r="J19" s="103">
        <f>'資金繰り予定表データ入力（製造原価あり）'!K45</f>
        <v>0</v>
      </c>
      <c r="L19" s="63" t="str">
        <f t="shared" ref="L19:L31" si="15">B19</f>
        <v>人件費</v>
      </c>
      <c r="M19" s="108">
        <f>E19</f>
        <v>0</v>
      </c>
      <c r="N19" s="108">
        <f>F19</f>
        <v>0</v>
      </c>
      <c r="O19" s="108">
        <f t="shared" si="14"/>
        <v>0</v>
      </c>
      <c r="P19" s="108">
        <f t="shared" si="14"/>
        <v>0</v>
      </c>
      <c r="Q19" s="108">
        <f t="shared" si="14"/>
        <v>0</v>
      </c>
      <c r="R19" s="108">
        <f t="shared" si="14"/>
        <v>0</v>
      </c>
    </row>
    <row r="20" spans="2:18" s="59" customFormat="1" ht="22.5" customHeight="1" x14ac:dyDescent="0.45">
      <c r="B20" s="63" t="s">
        <v>193</v>
      </c>
      <c r="C20" s="103">
        <f>'資金繰り予定表データ入力（製造原価あり）'!D46</f>
        <v>0</v>
      </c>
      <c r="D20" s="103">
        <f>'資金繰り予定表データ入力（製造原価あり）'!E46</f>
        <v>0</v>
      </c>
      <c r="E20" s="103">
        <f>'資金繰り予定表データ入力（製造原価あり）'!F46</f>
        <v>0</v>
      </c>
      <c r="F20" s="103">
        <f>'資金繰り予定表データ入力（製造原価あり）'!G46</f>
        <v>0</v>
      </c>
      <c r="G20" s="103">
        <f>'資金繰り予定表データ入力（製造原価あり）'!H46</f>
        <v>0</v>
      </c>
      <c r="H20" s="103">
        <f>'資金繰り予定表データ入力（製造原価あり）'!I46</f>
        <v>0</v>
      </c>
      <c r="I20" s="103">
        <f>'資金繰り予定表データ入力（製造原価あり）'!J46</f>
        <v>0</v>
      </c>
      <c r="J20" s="103">
        <f>'資金繰り予定表データ入力（製造原価あり）'!K46</f>
        <v>0</v>
      </c>
      <c r="L20" s="63" t="str">
        <f t="shared" si="15"/>
        <v>営業経費等</v>
      </c>
      <c r="M20" s="108">
        <f>E20</f>
        <v>0</v>
      </c>
      <c r="N20" s="108">
        <f t="shared" ref="N20:N22" si="16">F20</f>
        <v>0</v>
      </c>
      <c r="O20" s="108">
        <f t="shared" si="14"/>
        <v>0</v>
      </c>
      <c r="P20" s="108">
        <f t="shared" si="14"/>
        <v>0</v>
      </c>
      <c r="Q20" s="108">
        <f t="shared" si="14"/>
        <v>0</v>
      </c>
      <c r="R20" s="108">
        <f t="shared" si="14"/>
        <v>0</v>
      </c>
    </row>
    <row r="21" spans="2:18" s="59" customFormat="1" ht="22.5" customHeight="1" x14ac:dyDescent="0.45">
      <c r="B21" s="63" t="s">
        <v>81</v>
      </c>
      <c r="C21" s="103">
        <f>'資金繰り予定表データ入力（製造原価あり）'!D47</f>
        <v>0</v>
      </c>
      <c r="D21" s="103">
        <f>'資金繰り予定表データ入力（製造原価あり）'!E47</f>
        <v>0</v>
      </c>
      <c r="E21" s="103">
        <f>'資金繰り予定表データ入力（製造原価あり）'!F47</f>
        <v>0</v>
      </c>
      <c r="F21" s="103">
        <f>'資金繰り予定表データ入力（製造原価あり）'!G47</f>
        <v>0</v>
      </c>
      <c r="G21" s="103">
        <f>'資金繰り予定表データ入力（製造原価あり）'!H47</f>
        <v>0</v>
      </c>
      <c r="H21" s="103">
        <f>'資金繰り予定表データ入力（製造原価あり）'!I47</f>
        <v>0</v>
      </c>
      <c r="I21" s="103">
        <f>'資金繰り予定表データ入力（製造原価あり）'!J47</f>
        <v>0</v>
      </c>
      <c r="J21" s="103">
        <f>'資金繰り予定表データ入力（製造原価あり）'!K47</f>
        <v>0</v>
      </c>
      <c r="L21" s="63" t="str">
        <f t="shared" si="15"/>
        <v>税金・社会保険料</v>
      </c>
      <c r="M21" s="108">
        <f t="shared" ref="M21:M22" si="17">E21</f>
        <v>0</v>
      </c>
      <c r="N21" s="108">
        <f t="shared" si="16"/>
        <v>0</v>
      </c>
      <c r="O21" s="108">
        <f t="shared" si="14"/>
        <v>0</v>
      </c>
      <c r="P21" s="108">
        <f t="shared" si="14"/>
        <v>0</v>
      </c>
      <c r="Q21" s="108">
        <f t="shared" si="14"/>
        <v>0</v>
      </c>
      <c r="R21" s="108">
        <f t="shared" si="14"/>
        <v>0</v>
      </c>
    </row>
    <row r="22" spans="2:18" s="59" customFormat="1" ht="22.5" customHeight="1" x14ac:dyDescent="0.45">
      <c r="B22" s="63" t="s">
        <v>194</v>
      </c>
      <c r="C22" s="103">
        <f>'資金繰り予定表データ入力（製造原価あり）'!D48</f>
        <v>0</v>
      </c>
      <c r="D22" s="103">
        <f>'資金繰り予定表データ入力（製造原価あり）'!E48</f>
        <v>0</v>
      </c>
      <c r="E22" s="103">
        <f>'資金繰り予定表データ入力（製造原価あり）'!F48</f>
        <v>0</v>
      </c>
      <c r="F22" s="103">
        <f>'資金繰り予定表データ入力（製造原価あり）'!G48</f>
        <v>0</v>
      </c>
      <c r="G22" s="103">
        <f>'資金繰り予定表データ入力（製造原価あり）'!H48</f>
        <v>0</v>
      </c>
      <c r="H22" s="103">
        <f>'資金繰り予定表データ入力（製造原価あり）'!I48</f>
        <v>0</v>
      </c>
      <c r="I22" s="103">
        <f>'資金繰り予定表データ入力（製造原価あり）'!J48</f>
        <v>0</v>
      </c>
      <c r="J22" s="103">
        <f>'資金繰り予定表データ入力（製造原価あり）'!K48</f>
        <v>0</v>
      </c>
      <c r="L22" s="63" t="str">
        <f t="shared" si="15"/>
        <v>その他支出</v>
      </c>
      <c r="M22" s="108">
        <f t="shared" si="17"/>
        <v>0</v>
      </c>
      <c r="N22" s="108">
        <f t="shared" si="16"/>
        <v>0</v>
      </c>
      <c r="O22" s="108">
        <f t="shared" si="14"/>
        <v>0</v>
      </c>
      <c r="P22" s="108">
        <f t="shared" si="14"/>
        <v>0</v>
      </c>
      <c r="Q22" s="108">
        <f t="shared" si="14"/>
        <v>0</v>
      </c>
      <c r="R22" s="108">
        <f t="shared" si="14"/>
        <v>0</v>
      </c>
    </row>
    <row r="23" spans="2:18" s="59" customFormat="1" ht="22.5" customHeight="1" x14ac:dyDescent="0.45">
      <c r="B23" s="70" t="s">
        <v>125</v>
      </c>
      <c r="C23" s="106">
        <f>C15+SUM(C17:C22)</f>
        <v>0</v>
      </c>
      <c r="D23" s="106">
        <f t="shared" ref="D23:J23" si="18">D15+SUM(D17:D22)</f>
        <v>0</v>
      </c>
      <c r="E23" s="106">
        <f t="shared" si="18"/>
        <v>0</v>
      </c>
      <c r="F23" s="106">
        <f t="shared" si="18"/>
        <v>0</v>
      </c>
      <c r="G23" s="106">
        <f t="shared" si="18"/>
        <v>0</v>
      </c>
      <c r="H23" s="106">
        <f t="shared" si="18"/>
        <v>0</v>
      </c>
      <c r="I23" s="106">
        <f t="shared" si="18"/>
        <v>0</v>
      </c>
      <c r="J23" s="106">
        <f t="shared" si="18"/>
        <v>0</v>
      </c>
      <c r="L23" s="70" t="str">
        <f t="shared" si="15"/>
        <v>経常支出</v>
      </c>
      <c r="M23" s="106">
        <f>M15+SUM(M17:M22)</f>
        <v>0</v>
      </c>
      <c r="N23" s="106">
        <f t="shared" ref="N23:R23" si="19">N15+SUM(N17:N22)</f>
        <v>0</v>
      </c>
      <c r="O23" s="106">
        <f t="shared" si="19"/>
        <v>0</v>
      </c>
      <c r="P23" s="106">
        <f t="shared" si="19"/>
        <v>0</v>
      </c>
      <c r="Q23" s="106">
        <f t="shared" si="19"/>
        <v>0</v>
      </c>
      <c r="R23" s="106">
        <f t="shared" si="19"/>
        <v>0</v>
      </c>
    </row>
    <row r="24" spans="2:18" s="59" customFormat="1" ht="22.5" customHeight="1" x14ac:dyDescent="0.45">
      <c r="B24" s="70" t="s">
        <v>124</v>
      </c>
      <c r="C24" s="106">
        <f t="shared" ref="C24:J24" si="20">C11-C23</f>
        <v>0</v>
      </c>
      <c r="D24" s="106">
        <f t="shared" si="20"/>
        <v>0</v>
      </c>
      <c r="E24" s="106">
        <f t="shared" si="20"/>
        <v>0</v>
      </c>
      <c r="F24" s="106">
        <f t="shared" si="20"/>
        <v>0</v>
      </c>
      <c r="G24" s="106">
        <f t="shared" si="20"/>
        <v>0</v>
      </c>
      <c r="H24" s="106">
        <f t="shared" si="20"/>
        <v>0</v>
      </c>
      <c r="I24" s="106">
        <f t="shared" si="20"/>
        <v>0</v>
      </c>
      <c r="J24" s="106">
        <f t="shared" si="20"/>
        <v>0</v>
      </c>
      <c r="L24" s="70" t="str">
        <f t="shared" si="15"/>
        <v>経常収支</v>
      </c>
      <c r="M24" s="106">
        <f t="shared" ref="M24:R24" si="21">M11-M23</f>
        <v>0</v>
      </c>
      <c r="N24" s="106">
        <f t="shared" si="21"/>
        <v>0</v>
      </c>
      <c r="O24" s="106">
        <f t="shared" si="21"/>
        <v>0</v>
      </c>
      <c r="P24" s="106">
        <f t="shared" si="21"/>
        <v>0</v>
      </c>
      <c r="Q24" s="106">
        <f t="shared" si="21"/>
        <v>0</v>
      </c>
      <c r="R24" s="106">
        <f t="shared" si="21"/>
        <v>0</v>
      </c>
    </row>
    <row r="25" spans="2:18" s="59" customFormat="1" ht="22.5" customHeight="1" x14ac:dyDescent="0.45">
      <c r="B25" s="135"/>
      <c r="C25" s="136"/>
      <c r="D25" s="136"/>
      <c r="E25" s="136"/>
      <c r="F25" s="136"/>
      <c r="G25" s="136"/>
      <c r="H25" s="136"/>
      <c r="I25" s="136"/>
      <c r="J25" s="136"/>
      <c r="L25" s="135"/>
      <c r="M25" s="136"/>
      <c r="N25" s="136"/>
      <c r="O25" s="136"/>
      <c r="P25" s="136"/>
      <c r="Q25" s="136"/>
      <c r="R25" s="136"/>
    </row>
    <row r="26" spans="2:18" s="59" customFormat="1" ht="22.5" customHeight="1" x14ac:dyDescent="0.45">
      <c r="B26" s="63" t="s">
        <v>95</v>
      </c>
      <c r="C26" s="134">
        <f>'資金繰り予定表データ入力（製造原価あり）'!D53</f>
        <v>0</v>
      </c>
      <c r="D26" s="134">
        <f>'資金繰り予定表データ入力（製造原価あり）'!E53</f>
        <v>0</v>
      </c>
      <c r="E26" s="134">
        <f>'資金繰り予定表データ入力（製造原価あり）'!F53</f>
        <v>0</v>
      </c>
      <c r="F26" s="134">
        <f>'資金繰り予定表データ入力（製造原価あり）'!G53</f>
        <v>0</v>
      </c>
      <c r="G26" s="134">
        <f>'資金繰り予定表データ入力（製造原価あり）'!H53</f>
        <v>0</v>
      </c>
      <c r="H26" s="134">
        <f>'資金繰り予定表データ入力（製造原価あり）'!I53</f>
        <v>0</v>
      </c>
      <c r="I26" s="134">
        <f>'資金繰り予定表データ入力（製造原価あり）'!J53</f>
        <v>0</v>
      </c>
      <c r="J26" s="134">
        <f>'資金繰り予定表データ入力（製造原価あり）'!K53</f>
        <v>0</v>
      </c>
      <c r="L26" s="63" t="str">
        <f t="shared" si="15"/>
        <v>借入金調達</v>
      </c>
      <c r="M26" s="108">
        <f>E26</f>
        <v>0</v>
      </c>
      <c r="N26" s="108">
        <f t="shared" ref="N26:R27" si="22">F26</f>
        <v>0</v>
      </c>
      <c r="O26" s="108">
        <f t="shared" si="22"/>
        <v>0</v>
      </c>
      <c r="P26" s="108">
        <f t="shared" si="22"/>
        <v>0</v>
      </c>
      <c r="Q26" s="108">
        <f t="shared" si="22"/>
        <v>0</v>
      </c>
      <c r="R26" s="108">
        <f t="shared" si="22"/>
        <v>0</v>
      </c>
    </row>
    <row r="27" spans="2:18" s="59" customFormat="1" ht="22.5" customHeight="1" x14ac:dyDescent="0.45">
      <c r="B27" s="63" t="s">
        <v>80</v>
      </c>
      <c r="C27" s="134">
        <f>'資金繰り予定表データ入力（製造原価あり）'!D54</f>
        <v>0</v>
      </c>
      <c r="D27" s="134">
        <f>'資金繰り予定表データ入力（製造原価あり）'!E54</f>
        <v>0</v>
      </c>
      <c r="E27" s="134">
        <f>'資金繰り予定表データ入力（製造原価あり）'!F54</f>
        <v>0</v>
      </c>
      <c r="F27" s="134">
        <f>'資金繰り予定表データ入力（製造原価あり）'!G54</f>
        <v>0</v>
      </c>
      <c r="G27" s="134">
        <f>'資金繰り予定表データ入力（製造原価あり）'!H54</f>
        <v>0</v>
      </c>
      <c r="H27" s="134">
        <f>'資金繰り予定表データ入力（製造原価あり）'!I54</f>
        <v>0</v>
      </c>
      <c r="I27" s="134">
        <f>'資金繰り予定表データ入力（製造原価あり）'!J54</f>
        <v>0</v>
      </c>
      <c r="J27" s="134">
        <f>'資金繰り予定表データ入力（製造原価あり）'!K54</f>
        <v>0</v>
      </c>
      <c r="L27" s="63" t="str">
        <f t="shared" si="15"/>
        <v>借入金返済</v>
      </c>
      <c r="M27" s="108">
        <f>E27</f>
        <v>0</v>
      </c>
      <c r="N27" s="108">
        <f t="shared" si="22"/>
        <v>0</v>
      </c>
      <c r="O27" s="108">
        <f t="shared" si="22"/>
        <v>0</v>
      </c>
      <c r="P27" s="108">
        <f t="shared" si="22"/>
        <v>0</v>
      </c>
      <c r="Q27" s="108">
        <f t="shared" si="22"/>
        <v>0</v>
      </c>
      <c r="R27" s="108">
        <f t="shared" si="22"/>
        <v>0</v>
      </c>
    </row>
    <row r="28" spans="2:18" s="59" customFormat="1" ht="22.5" customHeight="1" x14ac:dyDescent="0.45">
      <c r="B28" s="63" t="s">
        <v>148</v>
      </c>
      <c r="C28" s="134">
        <f>'資金繰り予定表データ入力（製造原価あり）'!D55</f>
        <v>0</v>
      </c>
      <c r="D28" s="134">
        <f>'資金繰り予定表データ入力（製造原価あり）'!E55</f>
        <v>0</v>
      </c>
      <c r="E28" s="134">
        <f>'資金繰り予定表データ入力（製造原価あり）'!F55</f>
        <v>0</v>
      </c>
      <c r="F28" s="134">
        <f>'資金繰り予定表データ入力（製造原価あり）'!G55</f>
        <v>0</v>
      </c>
      <c r="G28" s="134">
        <f>'資金繰り予定表データ入力（製造原価あり）'!H55</f>
        <v>0</v>
      </c>
      <c r="H28" s="134">
        <f>'資金繰り予定表データ入力（製造原価あり）'!I55</f>
        <v>0</v>
      </c>
      <c r="I28" s="134">
        <f>'資金繰り予定表データ入力（製造原価あり）'!J55</f>
        <v>0</v>
      </c>
      <c r="J28" s="134">
        <f>'資金繰り予定表データ入力（製造原価あり）'!K55</f>
        <v>0</v>
      </c>
      <c r="L28" s="63" t="str">
        <f t="shared" si="15"/>
        <v>設備投資</v>
      </c>
      <c r="M28" s="108">
        <f>E28</f>
        <v>0</v>
      </c>
      <c r="N28" s="108">
        <f>F28</f>
        <v>0</v>
      </c>
      <c r="O28" s="108">
        <f>G28</f>
        <v>0</v>
      </c>
      <c r="P28" s="108">
        <f>H28</f>
        <v>0</v>
      </c>
      <c r="Q28" s="108">
        <f>I28</f>
        <v>0</v>
      </c>
      <c r="R28" s="108">
        <f>J28</f>
        <v>0</v>
      </c>
    </row>
    <row r="29" spans="2:18" s="59" customFormat="1" ht="22.5" customHeight="1" x14ac:dyDescent="0.45">
      <c r="B29" s="70" t="s">
        <v>153</v>
      </c>
      <c r="C29" s="107">
        <f>C26-C27-C28</f>
        <v>0</v>
      </c>
      <c r="D29" s="107">
        <f t="shared" ref="D29:J29" si="23">D26-D27-D28</f>
        <v>0</v>
      </c>
      <c r="E29" s="107">
        <f t="shared" si="23"/>
        <v>0</v>
      </c>
      <c r="F29" s="107">
        <f t="shared" si="23"/>
        <v>0</v>
      </c>
      <c r="G29" s="107">
        <f t="shared" si="23"/>
        <v>0</v>
      </c>
      <c r="H29" s="107">
        <f t="shared" si="23"/>
        <v>0</v>
      </c>
      <c r="I29" s="107">
        <f t="shared" si="23"/>
        <v>0</v>
      </c>
      <c r="J29" s="107">
        <f t="shared" si="23"/>
        <v>0</v>
      </c>
      <c r="L29" s="70" t="str">
        <f t="shared" si="15"/>
        <v>財務収支他</v>
      </c>
      <c r="M29" s="107">
        <f>M26-M27-M28</f>
        <v>0</v>
      </c>
      <c r="N29" s="107">
        <f t="shared" ref="N29:R29" si="24">N26-N27-N28</f>
        <v>0</v>
      </c>
      <c r="O29" s="107">
        <f t="shared" si="24"/>
        <v>0</v>
      </c>
      <c r="P29" s="107">
        <f t="shared" si="24"/>
        <v>0</v>
      </c>
      <c r="Q29" s="107">
        <f t="shared" si="24"/>
        <v>0</v>
      </c>
      <c r="R29" s="107">
        <f t="shared" si="24"/>
        <v>0</v>
      </c>
    </row>
    <row r="30" spans="2:18" s="59" customFormat="1" ht="22.5" customHeight="1" x14ac:dyDescent="0.45">
      <c r="B30" s="70" t="s">
        <v>84</v>
      </c>
      <c r="C30" s="107">
        <f t="shared" ref="C30:J30" si="25">C24+C29</f>
        <v>0</v>
      </c>
      <c r="D30" s="107">
        <f>D24+D29</f>
        <v>0</v>
      </c>
      <c r="E30" s="107">
        <f t="shared" si="25"/>
        <v>0</v>
      </c>
      <c r="F30" s="107">
        <f t="shared" si="25"/>
        <v>0</v>
      </c>
      <c r="G30" s="107">
        <f t="shared" si="25"/>
        <v>0</v>
      </c>
      <c r="H30" s="107">
        <f t="shared" si="25"/>
        <v>0</v>
      </c>
      <c r="I30" s="107">
        <f t="shared" si="25"/>
        <v>0</v>
      </c>
      <c r="J30" s="107">
        <f t="shared" si="25"/>
        <v>0</v>
      </c>
      <c r="L30" s="70" t="str">
        <f t="shared" si="15"/>
        <v>当月収支</v>
      </c>
      <c r="M30" s="107">
        <f t="shared" ref="M30:Q30" si="26">M24+M29</f>
        <v>0</v>
      </c>
      <c r="N30" s="107">
        <f t="shared" si="26"/>
        <v>0</v>
      </c>
      <c r="O30" s="107">
        <f t="shared" si="26"/>
        <v>0</v>
      </c>
      <c r="P30" s="107">
        <f t="shared" si="26"/>
        <v>0</v>
      </c>
      <c r="Q30" s="107">
        <f t="shared" si="26"/>
        <v>0</v>
      </c>
      <c r="R30" s="107">
        <f>R24+R29</f>
        <v>0</v>
      </c>
    </row>
    <row r="31" spans="2:18" s="59" customFormat="1" ht="22.5" customHeight="1" x14ac:dyDescent="0.45">
      <c r="B31" s="157" t="s">
        <v>176</v>
      </c>
      <c r="C31" s="158">
        <f>D6</f>
        <v>0</v>
      </c>
      <c r="D31" s="158">
        <f>'資金繰り予定表データ入力（製造原価あり）'!D58</f>
        <v>0</v>
      </c>
      <c r="E31" s="158">
        <f t="shared" ref="E31:J31" si="27">E6+E30</f>
        <v>0</v>
      </c>
      <c r="F31" s="158">
        <f t="shared" si="27"/>
        <v>0</v>
      </c>
      <c r="G31" s="158">
        <f t="shared" si="27"/>
        <v>0</v>
      </c>
      <c r="H31" s="158">
        <f t="shared" si="27"/>
        <v>0</v>
      </c>
      <c r="I31" s="158">
        <f t="shared" si="27"/>
        <v>0</v>
      </c>
      <c r="J31" s="158">
        <f t="shared" si="27"/>
        <v>0</v>
      </c>
      <c r="L31" s="157" t="str">
        <f t="shared" si="15"/>
        <v>月末現預金残高</v>
      </c>
      <c r="M31" s="158">
        <f t="shared" ref="M31:R31" si="28">M6+M30</f>
        <v>0</v>
      </c>
      <c r="N31" s="158">
        <f t="shared" si="28"/>
        <v>0</v>
      </c>
      <c r="O31" s="158">
        <f t="shared" si="28"/>
        <v>0</v>
      </c>
      <c r="P31" s="158">
        <f t="shared" si="28"/>
        <v>0</v>
      </c>
      <c r="Q31" s="158">
        <f t="shared" si="28"/>
        <v>0</v>
      </c>
      <c r="R31" s="158">
        <f t="shared" si="28"/>
        <v>0</v>
      </c>
    </row>
    <row r="33" spans="2:13" x14ac:dyDescent="0.45">
      <c r="B33"/>
      <c r="C33"/>
      <c r="D33"/>
    </row>
    <row r="35" spans="2:13" ht="28.8" x14ac:dyDescent="0.45">
      <c r="B35" s="262"/>
      <c r="C35" s="262"/>
      <c r="D35" s="262"/>
      <c r="E35" s="262"/>
      <c r="F35" s="262"/>
      <c r="G35" s="262"/>
      <c r="H35" s="262"/>
      <c r="I35" s="262"/>
      <c r="J35" s="262"/>
    </row>
    <row r="36" spans="2:13" x14ac:dyDescent="0.45">
      <c r="F36" s="49"/>
      <c r="I36" s="254"/>
      <c r="J36" s="254"/>
      <c r="K36" s="46"/>
      <c r="L36" s="46"/>
      <c r="M36" s="46"/>
    </row>
    <row r="37" spans="2:13" x14ac:dyDescent="0.45">
      <c r="B37"/>
      <c r="C37"/>
      <c r="D37"/>
      <c r="E37" s="255"/>
      <c r="F37" s="255"/>
      <c r="G37" s="96"/>
      <c r="H37" s="55"/>
      <c r="I37" s="55"/>
      <c r="J37" s="55"/>
      <c r="K37" s="110"/>
      <c r="L37" s="110"/>
      <c r="M37" s="96"/>
    </row>
    <row r="38" spans="2:13" x14ac:dyDescent="0.45">
      <c r="B38"/>
      <c r="C38"/>
      <c r="D38"/>
      <c r="E38" s="55"/>
      <c r="F38" s="55"/>
      <c r="G38" s="96"/>
      <c r="H38" s="55"/>
      <c r="I38" s="55"/>
      <c r="J38" s="55"/>
      <c r="K38" s="55"/>
      <c r="L38" s="55"/>
      <c r="M38" s="96"/>
    </row>
    <row r="39" spans="2:13" x14ac:dyDescent="0.45">
      <c r="B39"/>
      <c r="C39"/>
      <c r="D39"/>
      <c r="E39" s="55"/>
      <c r="F39" s="55"/>
      <c r="G39" s="96"/>
      <c r="H39" s="55"/>
      <c r="I39" s="249"/>
      <c r="J39" s="249"/>
      <c r="K39" s="55"/>
      <c r="L39" s="55"/>
      <c r="M39" s="96"/>
    </row>
  </sheetData>
  <mergeCells count="8">
    <mergeCell ref="E1:P1"/>
    <mergeCell ref="I39:J39"/>
    <mergeCell ref="B4:G4"/>
    <mergeCell ref="L4:O4"/>
    <mergeCell ref="I36:J36"/>
    <mergeCell ref="E37:F37"/>
    <mergeCell ref="B35:J35"/>
    <mergeCell ref="I4:J4"/>
  </mergeCells>
  <phoneticPr fontId="3"/>
  <pageMargins left="0.7" right="0.7" top="0.75" bottom="0.75" header="0.3" footer="0.3"/>
  <pageSetup paperSize="8"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516A6-AD2A-4F3C-861E-540C860AF1A1}">
  <sheetPr codeName="Sheet11">
    <tabColor rgb="FFFF0000"/>
    <pageSetUpPr fitToPage="1"/>
  </sheetPr>
  <dimension ref="A1:W63"/>
  <sheetViews>
    <sheetView view="pageBreakPreview" zoomScaleNormal="55" zoomScaleSheetLayoutView="100" workbookViewId="0">
      <selection activeCell="B3" sqref="B3:C3"/>
    </sheetView>
  </sheetViews>
  <sheetFormatPr defaultColWidth="9" defaultRowHeight="18" x14ac:dyDescent="0.45"/>
  <cols>
    <col min="1" max="1" width="54" customWidth="1"/>
    <col min="2" max="2" width="9.5" customWidth="1"/>
    <col min="3" max="3" width="9" style="141" customWidth="1"/>
    <col min="4" max="5" width="9.3984375" style="141" customWidth="1"/>
    <col min="6" max="11" width="9.3984375" customWidth="1"/>
    <col min="12" max="12" width="9.59765625" bestFit="1" customWidth="1"/>
    <col min="13" max="13" width="10.09765625" customWidth="1"/>
    <col min="14" max="14" width="10" customWidth="1"/>
    <col min="15" max="17" width="10" style="174" customWidth="1"/>
    <col min="18" max="22" width="10" customWidth="1"/>
    <col min="23" max="27" width="10.5" customWidth="1"/>
  </cols>
  <sheetData>
    <row r="1" spans="1:23" x14ac:dyDescent="0.45">
      <c r="A1" s="140" t="s">
        <v>195</v>
      </c>
      <c r="B1" s="155">
        <v>44927</v>
      </c>
      <c r="C1" s="159" t="s">
        <v>191</v>
      </c>
      <c r="D1" s="200"/>
      <c r="E1" s="141" t="s">
        <v>192</v>
      </c>
    </row>
    <row r="2" spans="1:23" x14ac:dyDescent="0.45">
      <c r="A2" s="140"/>
      <c r="B2" s="140"/>
      <c r="C2" s="140"/>
      <c r="D2" s="266" t="s">
        <v>256</v>
      </c>
      <c r="E2" s="266"/>
      <c r="F2" s="266" t="s">
        <v>257</v>
      </c>
      <c r="G2" s="266"/>
      <c r="H2" s="266"/>
      <c r="I2" s="266"/>
      <c r="J2" s="266"/>
      <c r="K2" s="266"/>
    </row>
    <row r="3" spans="1:23" x14ac:dyDescent="0.45">
      <c r="A3" s="86" t="s">
        <v>165</v>
      </c>
      <c r="B3" s="270"/>
      <c r="C3" s="271"/>
      <c r="D3" s="171">
        <f>'資金繰り予定表 (製造原価あり)'!$C$5</f>
        <v>44866</v>
      </c>
      <c r="E3" s="171">
        <f>'資金繰り予定表 (製造原価あり)'!$D$5</f>
        <v>44896</v>
      </c>
      <c r="F3" s="171">
        <f>'資金繰り予定表 (製造原価あり)'!$E$5</f>
        <v>44927</v>
      </c>
      <c r="G3" s="171">
        <f>'資金繰り予定表 (製造原価あり)'!$F$5</f>
        <v>44958</v>
      </c>
      <c r="H3" s="171">
        <f>'資金繰り予定表 (製造原価あり)'!$G$5</f>
        <v>44986</v>
      </c>
      <c r="I3" s="171">
        <f>'資金繰り予定表 (製造原価あり)'!$H$5</f>
        <v>45017</v>
      </c>
      <c r="J3" s="171">
        <f>'資金繰り予定表 (製造原価あり)'!$I$5</f>
        <v>45047</v>
      </c>
      <c r="K3" s="171">
        <f>'資金繰り予定表 (製造原価あり)'!$J$5</f>
        <v>45078</v>
      </c>
      <c r="N3" s="173" t="s">
        <v>76</v>
      </c>
      <c r="O3" s="205">
        <f t="shared" ref="O3:V3" si="0">D3</f>
        <v>44866</v>
      </c>
      <c r="P3" s="205">
        <f t="shared" si="0"/>
        <v>44896</v>
      </c>
      <c r="Q3" s="205">
        <f t="shared" si="0"/>
        <v>44927</v>
      </c>
      <c r="R3" s="205">
        <f t="shared" si="0"/>
        <v>44958</v>
      </c>
      <c r="S3" s="205">
        <f t="shared" si="0"/>
        <v>44986</v>
      </c>
      <c r="T3" s="205">
        <f t="shared" si="0"/>
        <v>45017</v>
      </c>
      <c r="U3" s="205">
        <f t="shared" si="0"/>
        <v>45047</v>
      </c>
      <c r="V3" s="205">
        <f t="shared" si="0"/>
        <v>45078</v>
      </c>
      <c r="W3" s="174"/>
    </row>
    <row r="4" spans="1:23" x14ac:dyDescent="0.45">
      <c r="A4" s="44" t="s">
        <v>186</v>
      </c>
      <c r="B4" s="272" t="s">
        <v>124</v>
      </c>
      <c r="C4" s="194" t="s">
        <v>206</v>
      </c>
      <c r="D4" s="236"/>
      <c r="E4" s="236"/>
      <c r="F4" s="236"/>
      <c r="G4" s="236"/>
      <c r="H4" s="236"/>
      <c r="I4" s="236"/>
      <c r="J4" s="236"/>
      <c r="K4" s="236"/>
      <c r="N4" s="173" t="s">
        <v>86</v>
      </c>
      <c r="O4" s="201">
        <f>IF(手形取引!Z11=0,$D$4*(C20+D20),$D$6*C20/C26)</f>
        <v>0</v>
      </c>
      <c r="P4" s="201">
        <f>IF(手形取引!Z11=0,$D$4*(C21+D21),$D$6*C21/C26)+IF(手形取引!Z11=0,$E$4*(C20+D20),$E$6*C20/C26)</f>
        <v>0</v>
      </c>
      <c r="Q4" s="201">
        <f>IF(手形取引!Z11=0,$D$4*(C22+D22),$D$6*C22/C26)+IF(手形取引!Z11=0,$E$4*(C21+D21),$E$6*C21/C26)+IF(手形取引!Z11=0,$F$4*(C20+D20),$F$6*C20/C26)</f>
        <v>0</v>
      </c>
      <c r="R4" s="201">
        <f>IF(手形取引!Z11=0,$D$4*(C23+D23),$D$6*C23/C26)+IF(手形取引!Z11=0,$E$4*(C22+D22),$E$6*C22/C26)+IF(手形取引!Z11=0,$F$4*(C21+D21),$F$6*C21/C26)+$G$4*(C20+D20)</f>
        <v>0</v>
      </c>
      <c r="S4" s="201">
        <f>IF(手形取引!Z11=0,$D$4*(C24+D24),$D$6*C24/C26)+IF(手形取引!Z11=0,$E$4*(C23+D23),$E$6*C23/C26)+IF(手形取引!Z11=0,$F$4*(C22+D22),$F$6*C22/C26)+$G$4*(C21+D21)+$H$4*(C20+D20)</f>
        <v>0</v>
      </c>
      <c r="T4" s="201">
        <f>IF(手形取引!Z11=0,$D$4*(C25+D25),$D$6*C25/C26)+IF(手形取引!Z11=0,$E$4*(C24+D24),$E$6*C24/C26)+IF(手形取引!Z11=0,$F$4*(C23+D23),$F$6*C23/C26)+$G$4*(C22+D22)+$H$4*(C21+D21)+$I$4*(C20+D20)</f>
        <v>0</v>
      </c>
      <c r="U4" s="201">
        <f>IF(手形取引!Z11=0,$E$4*(C25+D25),$E$6*C25/C26)+IF(手形取引!Z11=0,$F$4*(C24+D24),$F$6*C24/C26)+$G$4*(C23+D23)+$H$4*(C22+D22)+$I$4*(C21+D21)+$J$4*(C20+D20)</f>
        <v>0</v>
      </c>
      <c r="V4" s="201">
        <f>IF(手形取引!Z11=0,$F$4*(C25+D25),$F$6*C25/C26)+$G$4*(C24+D24)+$H$4*(C23+D23)+$I$4*(C22+D22)+$J$4*(C21+D21)+$K$4*(C20+D20)</f>
        <v>0</v>
      </c>
    </row>
    <row r="5" spans="1:23" ht="18.75" customHeight="1" x14ac:dyDescent="0.45">
      <c r="A5" s="44" t="s">
        <v>187</v>
      </c>
      <c r="B5" s="273"/>
      <c r="C5" s="194" t="s">
        <v>207</v>
      </c>
      <c r="D5" s="236"/>
      <c r="E5" s="236"/>
      <c r="F5" s="236"/>
      <c r="G5" s="236"/>
      <c r="H5" s="236"/>
      <c r="I5" s="236"/>
      <c r="J5" s="236"/>
      <c r="K5" s="236"/>
      <c r="N5" s="173" t="s">
        <v>258</v>
      </c>
      <c r="O5" s="202">
        <f t="shared" ref="O5:V5" si="1">D11</f>
        <v>0</v>
      </c>
      <c r="P5" s="202">
        <f t="shared" si="1"/>
        <v>0</v>
      </c>
      <c r="Q5" s="202">
        <f t="shared" si="1"/>
        <v>0</v>
      </c>
      <c r="R5" s="202">
        <f t="shared" si="1"/>
        <v>0</v>
      </c>
      <c r="S5" s="202">
        <f t="shared" si="1"/>
        <v>0</v>
      </c>
      <c r="T5" s="202">
        <f t="shared" si="1"/>
        <v>0</v>
      </c>
      <c r="U5" s="202">
        <f t="shared" si="1"/>
        <v>0</v>
      </c>
      <c r="V5" s="202">
        <f t="shared" si="1"/>
        <v>0</v>
      </c>
    </row>
    <row r="6" spans="1:23" ht="18.75" hidden="1" customHeight="1" x14ac:dyDescent="0.45">
      <c r="A6" s="44"/>
      <c r="B6" s="274" t="s">
        <v>239</v>
      </c>
      <c r="C6" s="233" t="s">
        <v>206</v>
      </c>
      <c r="D6" s="234">
        <f>D4-手形取引!Z3</f>
        <v>0</v>
      </c>
      <c r="E6" s="234">
        <f>E4-手形取引!Z4</f>
        <v>0</v>
      </c>
      <c r="F6" s="234">
        <f>F4-手形取引!Z5</f>
        <v>0</v>
      </c>
      <c r="G6" s="234">
        <f t="shared" ref="G6:K6" si="2">G4</f>
        <v>0</v>
      </c>
      <c r="H6" s="234">
        <f t="shared" si="2"/>
        <v>0</v>
      </c>
      <c r="I6" s="234">
        <f t="shared" si="2"/>
        <v>0</v>
      </c>
      <c r="J6" s="234">
        <f t="shared" si="2"/>
        <v>0</v>
      </c>
      <c r="K6" s="235">
        <f t="shared" si="2"/>
        <v>0</v>
      </c>
      <c r="N6" s="173"/>
      <c r="O6" s="202"/>
      <c r="P6" s="202"/>
      <c r="Q6" s="202"/>
      <c r="R6" s="202"/>
      <c r="S6" s="202"/>
      <c r="T6" s="202"/>
      <c r="U6" s="202"/>
      <c r="V6" s="202"/>
    </row>
    <row r="7" spans="1:23" ht="18.75" hidden="1" customHeight="1" thickBot="1" x14ac:dyDescent="0.5">
      <c r="A7" s="44"/>
      <c r="B7" s="275"/>
      <c r="C7" s="161" t="s">
        <v>207</v>
      </c>
      <c r="D7" s="192">
        <f>D5-手形取引!AA3</f>
        <v>0</v>
      </c>
      <c r="E7" s="192">
        <f>E5-手形取引!AA4</f>
        <v>0</v>
      </c>
      <c r="F7" s="192">
        <f>F5-手形取引!AA5</f>
        <v>0</v>
      </c>
      <c r="G7" s="192">
        <f t="shared" ref="G7:K7" si="3">G5</f>
        <v>0</v>
      </c>
      <c r="H7" s="192">
        <f t="shared" si="3"/>
        <v>0</v>
      </c>
      <c r="I7" s="192">
        <f t="shared" si="3"/>
        <v>0</v>
      </c>
      <c r="J7" s="192">
        <f t="shared" si="3"/>
        <v>0</v>
      </c>
      <c r="K7" s="210">
        <f t="shared" si="3"/>
        <v>0</v>
      </c>
      <c r="N7" s="173"/>
      <c r="O7" s="202"/>
      <c r="P7" s="202"/>
      <c r="Q7" s="202"/>
      <c r="R7" s="202"/>
      <c r="S7" s="202"/>
      <c r="T7" s="202"/>
      <c r="U7" s="202"/>
      <c r="V7" s="202"/>
    </row>
    <row r="8" spans="1:23" ht="18.75" customHeight="1" x14ac:dyDescent="0.45">
      <c r="A8" s="44"/>
      <c r="C8"/>
      <c r="D8"/>
      <c r="E8"/>
      <c r="N8" s="173" t="s">
        <v>255</v>
      </c>
      <c r="O8" s="202">
        <f t="shared" ref="O8:V8" si="4">D13</f>
        <v>0</v>
      </c>
      <c r="P8" s="202">
        <f t="shared" si="4"/>
        <v>0</v>
      </c>
      <c r="Q8" s="202">
        <f t="shared" si="4"/>
        <v>0</v>
      </c>
      <c r="R8" s="202">
        <f t="shared" si="4"/>
        <v>0</v>
      </c>
      <c r="S8" s="202">
        <f t="shared" si="4"/>
        <v>0</v>
      </c>
      <c r="T8" s="202">
        <f t="shared" si="4"/>
        <v>0</v>
      </c>
      <c r="U8" s="202">
        <f t="shared" si="4"/>
        <v>0</v>
      </c>
      <c r="V8" s="202">
        <f t="shared" si="4"/>
        <v>0</v>
      </c>
    </row>
    <row r="9" spans="1:23" ht="18.75" customHeight="1" x14ac:dyDescent="0.45">
      <c r="A9" s="44"/>
      <c r="B9" s="163"/>
      <c r="C9" s="163"/>
      <c r="D9" s="266" t="s">
        <v>256</v>
      </c>
      <c r="E9" s="266"/>
      <c r="F9" s="266" t="s">
        <v>257</v>
      </c>
      <c r="G9" s="266"/>
      <c r="H9" s="266"/>
      <c r="I9" s="266"/>
      <c r="J9" s="266"/>
      <c r="K9" s="266"/>
      <c r="N9" s="173" t="s">
        <v>241</v>
      </c>
      <c r="O9" s="202">
        <f t="shared" ref="O9:V9" si="5">SUM(O4:O8)</f>
        <v>0</v>
      </c>
      <c r="P9" s="202">
        <f t="shared" si="5"/>
        <v>0</v>
      </c>
      <c r="Q9" s="202">
        <f t="shared" si="5"/>
        <v>0</v>
      </c>
      <c r="R9" s="202">
        <f t="shared" si="5"/>
        <v>0</v>
      </c>
      <c r="S9" s="202">
        <f t="shared" si="5"/>
        <v>0</v>
      </c>
      <c r="T9" s="202">
        <f t="shared" si="5"/>
        <v>0</v>
      </c>
      <c r="U9" s="202">
        <f t="shared" si="5"/>
        <v>0</v>
      </c>
      <c r="V9" s="202">
        <f t="shared" si="5"/>
        <v>0</v>
      </c>
    </row>
    <row r="10" spans="1:23" ht="18.75" customHeight="1" x14ac:dyDescent="0.45">
      <c r="A10" s="44"/>
      <c r="B10" s="142"/>
      <c r="C10" s="139"/>
      <c r="D10" s="171">
        <f>'資金繰り予定表 (製造原価あり)'!$C$5</f>
        <v>44866</v>
      </c>
      <c r="E10" s="171">
        <f>'資金繰り予定表 (製造原価あり)'!$D$5</f>
        <v>44896</v>
      </c>
      <c r="F10" s="171">
        <f>'資金繰り予定表 (製造原価あり)'!$E$5</f>
        <v>44927</v>
      </c>
      <c r="G10" s="171">
        <f>'資金繰り予定表 (製造原価あり)'!$F$5</f>
        <v>44958</v>
      </c>
      <c r="H10" s="171">
        <f>'資金繰り予定表 (製造原価あり)'!$G$5</f>
        <v>44986</v>
      </c>
      <c r="I10" s="171">
        <f>'資金繰り予定表 (製造原価あり)'!$H$5</f>
        <v>45017</v>
      </c>
      <c r="J10" s="171">
        <f>'資金繰り予定表 (製造原価あり)'!$I$5</f>
        <v>45047</v>
      </c>
      <c r="K10" s="171">
        <f>'資金繰り予定表 (製造原価あり)'!$J$5</f>
        <v>45078</v>
      </c>
      <c r="N10" s="174"/>
      <c r="O10" s="206"/>
      <c r="P10" s="206"/>
      <c r="Q10" s="206"/>
      <c r="R10" s="206"/>
      <c r="S10" s="206"/>
      <c r="T10" s="206"/>
      <c r="U10" s="206"/>
      <c r="V10" s="206"/>
    </row>
    <row r="11" spans="1:23" ht="18.75" customHeight="1" x14ac:dyDescent="0.45">
      <c r="A11" s="44"/>
      <c r="B11" s="272" t="s">
        <v>196</v>
      </c>
      <c r="C11" s="194" t="s">
        <v>76</v>
      </c>
      <c r="D11" s="241"/>
      <c r="E11" s="241"/>
      <c r="F11" s="242"/>
      <c r="G11" s="242"/>
      <c r="H11" s="242"/>
      <c r="I11" s="242"/>
      <c r="J11" s="242"/>
      <c r="K11" s="242"/>
      <c r="L11" s="174"/>
      <c r="O11"/>
      <c r="P11"/>
      <c r="Q11"/>
    </row>
    <row r="12" spans="1:23" x14ac:dyDescent="0.45">
      <c r="A12" s="44"/>
      <c r="B12" s="272"/>
      <c r="C12" s="194" t="s">
        <v>197</v>
      </c>
      <c r="D12" s="241"/>
      <c r="E12" s="241"/>
      <c r="F12" s="242"/>
      <c r="G12" s="242"/>
      <c r="H12" s="242"/>
      <c r="I12" s="242"/>
      <c r="J12" s="242"/>
      <c r="K12" s="242"/>
      <c r="L12" s="284" t="s">
        <v>272</v>
      </c>
      <c r="M12" s="285"/>
      <c r="N12" s="173" t="s">
        <v>259</v>
      </c>
      <c r="O12" s="205">
        <f t="shared" ref="O12:V12" si="6">D10</f>
        <v>44866</v>
      </c>
      <c r="P12" s="205">
        <f t="shared" si="6"/>
        <v>44896</v>
      </c>
      <c r="Q12" s="205">
        <f t="shared" si="6"/>
        <v>44927</v>
      </c>
      <c r="R12" s="205">
        <f t="shared" si="6"/>
        <v>44958</v>
      </c>
      <c r="S12" s="205">
        <f t="shared" si="6"/>
        <v>44986</v>
      </c>
      <c r="T12" s="205">
        <f t="shared" si="6"/>
        <v>45017</v>
      </c>
      <c r="U12" s="205">
        <f t="shared" si="6"/>
        <v>45047</v>
      </c>
      <c r="V12" s="205">
        <f t="shared" si="6"/>
        <v>45078</v>
      </c>
    </row>
    <row r="13" spans="1:23" hidden="1" x14ac:dyDescent="0.45">
      <c r="A13" s="44"/>
      <c r="B13" s="286" t="s">
        <v>205</v>
      </c>
      <c r="C13" s="237" t="s">
        <v>76</v>
      </c>
      <c r="D13" s="238">
        <f>手形取引!AB3</f>
        <v>0</v>
      </c>
      <c r="E13" s="238">
        <f>手形取引!AB4</f>
        <v>0</v>
      </c>
      <c r="F13" s="239">
        <f>手形取引!AB5</f>
        <v>0</v>
      </c>
      <c r="G13" s="239">
        <f>手形取引!AB6</f>
        <v>0</v>
      </c>
      <c r="H13" s="239">
        <f>手形取引!AB7</f>
        <v>0</v>
      </c>
      <c r="I13" s="239">
        <f>手形取引!AB8</f>
        <v>0</v>
      </c>
      <c r="J13" s="239">
        <f>手形取引!AB9</f>
        <v>0</v>
      </c>
      <c r="K13" s="240">
        <f>手形取引!AB10</f>
        <v>0</v>
      </c>
      <c r="M13" s="230"/>
      <c r="N13" s="173"/>
      <c r="O13" s="202"/>
      <c r="P13" s="202"/>
      <c r="Q13" s="202"/>
      <c r="R13" s="202"/>
      <c r="S13" s="202"/>
      <c r="T13" s="202"/>
      <c r="U13" s="202"/>
      <c r="V13" s="202"/>
    </row>
    <row r="14" spans="1:23" ht="18.600000000000001" hidden="1" thickBot="1" x14ac:dyDescent="0.5">
      <c r="A14" s="44"/>
      <c r="B14" s="287"/>
      <c r="C14" s="162" t="s">
        <v>197</v>
      </c>
      <c r="D14" s="177">
        <f>手形取引!AC3</f>
        <v>0</v>
      </c>
      <c r="E14" s="177">
        <f>手形取引!AC4</f>
        <v>0</v>
      </c>
      <c r="F14" s="178">
        <f>手形取引!AC5</f>
        <v>0</v>
      </c>
      <c r="G14" s="178">
        <f>手形取引!AC6</f>
        <v>0</v>
      </c>
      <c r="H14" s="178">
        <f>手形取引!AC7</f>
        <v>0</v>
      </c>
      <c r="I14" s="178">
        <f>手形取引!AC8</f>
        <v>0</v>
      </c>
      <c r="J14" s="178">
        <f>手形取引!AC9</f>
        <v>0</v>
      </c>
      <c r="K14" s="179">
        <f>手形取引!AC10</f>
        <v>0</v>
      </c>
      <c r="N14" s="173"/>
      <c r="O14" s="202"/>
      <c r="P14" s="202"/>
      <c r="Q14" s="202"/>
      <c r="R14" s="202"/>
      <c r="S14" s="202"/>
      <c r="T14" s="202"/>
      <c r="U14" s="202"/>
      <c r="V14" s="202"/>
    </row>
    <row r="15" spans="1:23" x14ac:dyDescent="0.45">
      <c r="A15" s="44"/>
      <c r="B15" s="231"/>
      <c r="C15" s="231"/>
      <c r="D15" s="231"/>
      <c r="E15" s="231"/>
      <c r="F15" s="232"/>
      <c r="G15" s="232"/>
      <c r="H15" s="232"/>
      <c r="I15" s="232"/>
      <c r="J15" s="232"/>
      <c r="K15" s="232"/>
      <c r="N15" s="173" t="s">
        <v>86</v>
      </c>
      <c r="O15" s="201">
        <f>IF(手形取引!AA11=0,$D$5*(C29+D29),$D$7*C29/C35)</f>
        <v>0</v>
      </c>
      <c r="P15" s="201">
        <f>IF(手形取引!AA11=0,$D$5*(C30+D30),$D$7*C30/C35)+IF(手形取引!AA11=0,$E$5*(C29+D29),$E$7*C29/C35)</f>
        <v>0</v>
      </c>
      <c r="Q15" s="201">
        <f>IF(手形取引!AA11=0,$D$5*(C31+D31),$D$7*C31/C35)+IF(手形取引!AA11=0,$E$5*(C30+D30),$E$7*C30/C35)+IF(手形取引!AA11=0,$F$5*(C29+D29),$F$7*C29/C35)</f>
        <v>0</v>
      </c>
      <c r="R15" s="201">
        <f>IF(手形取引!AA11=0,$D$5*(C32+D32),$D$7*C32/C35)+IF(手形取引!AA11=0,$E$5*(C31+D31),$E$7*C31/C35)+IF(手形取引!AA11=0,$F$5*(C30+D30),$F$7*C30/C35)+$G$5*(C29+D29)</f>
        <v>0</v>
      </c>
      <c r="S15" s="201">
        <f>IF(手形取引!AA11=0,$D$5*(C33+D33),$D$7*C33/C35)+IF(手形取引!AA11=0,$E$5*(C32+D32),$E$7*C32/C35)+IF(手形取引!AA11=0,$F$5*(C31+D31),$F$7*C31/C35)+$G$5*(C30+D30)+$H$5*(C29+D29)</f>
        <v>0</v>
      </c>
      <c r="T15" s="201">
        <f>IF(手形取引!AA11=0,$D$5*(C34+D34),$D$7*C34/C35)+IF(手形取引!AA11=0,$E$5*(C33+D33),$E$7*C33/C35)+IF(手形取引!AA11=0,$F$5*(C32+D32),$F$7*C32/C35)+$G$5*(C31+D31)+$H$5*(C30+D30)+$I$5*(C29+D29)</f>
        <v>0</v>
      </c>
      <c r="U15" s="201">
        <f>IF(手形取引!AA11=0,$E$5*(C34+D34),$E$7*C34/C35)+IF(手形取引!AA11=0,$F$5*(C33+D33),$F$7*C33/C35)+$G$5*(C32+D32)+$H$5*(C31+D31)+$I$5*(C30+D30)+$J$5*(C29+D29)</f>
        <v>0</v>
      </c>
      <c r="V15" s="201">
        <f>IF(手形取引!AA11=0,$F$5*(C34+D34),$F$7*C34/C35)+$G$5*(C33+D33)+$H$5*(C32+D32)+$I$5*(C31+D31)+$J$5*(C30+D30)+$K$5*(C29+D29)</f>
        <v>0</v>
      </c>
    </row>
    <row r="16" spans="1:23" x14ac:dyDescent="0.45">
      <c r="A16" s="44"/>
      <c r="B16" s="231"/>
      <c r="C16" s="231"/>
      <c r="D16" s="231"/>
      <c r="E16" s="231"/>
      <c r="F16" s="232"/>
      <c r="G16" s="232"/>
      <c r="H16" s="232"/>
      <c r="I16" s="232"/>
      <c r="J16" s="232"/>
      <c r="K16" s="232"/>
      <c r="N16" s="173" t="s">
        <v>258</v>
      </c>
      <c r="O16" s="202">
        <f t="shared" ref="O16:V16" si="7">D12</f>
        <v>0</v>
      </c>
      <c r="P16" s="202">
        <f t="shared" si="7"/>
        <v>0</v>
      </c>
      <c r="Q16" s="202">
        <f t="shared" si="7"/>
        <v>0</v>
      </c>
      <c r="R16" s="202">
        <f t="shared" si="7"/>
        <v>0</v>
      </c>
      <c r="S16" s="202">
        <f t="shared" si="7"/>
        <v>0</v>
      </c>
      <c r="T16" s="202">
        <f t="shared" si="7"/>
        <v>0</v>
      </c>
      <c r="U16" s="202">
        <f t="shared" si="7"/>
        <v>0</v>
      </c>
      <c r="V16" s="202">
        <f t="shared" si="7"/>
        <v>0</v>
      </c>
    </row>
    <row r="17" spans="1:22" ht="18.75" customHeight="1" x14ac:dyDescent="0.45">
      <c r="A17" s="44"/>
      <c r="B17" s="231"/>
      <c r="C17" s="231"/>
      <c r="D17" s="231"/>
      <c r="E17" s="231"/>
      <c r="F17" s="232"/>
      <c r="G17" s="232"/>
      <c r="H17" s="232"/>
      <c r="I17" s="232"/>
      <c r="J17" s="232"/>
      <c r="K17" s="232"/>
      <c r="N17" s="173" t="s">
        <v>255</v>
      </c>
      <c r="O17" s="202">
        <f t="shared" ref="O17:V17" si="8">D14</f>
        <v>0</v>
      </c>
      <c r="P17" s="202">
        <f t="shared" si="8"/>
        <v>0</v>
      </c>
      <c r="Q17" s="202">
        <f t="shared" si="8"/>
        <v>0</v>
      </c>
      <c r="R17" s="202">
        <f t="shared" si="8"/>
        <v>0</v>
      </c>
      <c r="S17" s="202">
        <f t="shared" si="8"/>
        <v>0</v>
      </c>
      <c r="T17" s="202">
        <f t="shared" si="8"/>
        <v>0</v>
      </c>
      <c r="U17" s="202">
        <f t="shared" si="8"/>
        <v>0</v>
      </c>
      <c r="V17" s="202">
        <f t="shared" si="8"/>
        <v>0</v>
      </c>
    </row>
    <row r="18" spans="1:22" x14ac:dyDescent="0.45">
      <c r="A18" s="86"/>
      <c r="B18" s="141"/>
      <c r="N18" s="173" t="s">
        <v>241</v>
      </c>
      <c r="O18" s="202">
        <f t="shared" ref="O18:V18" si="9">SUM(O15:O17)</f>
        <v>0</v>
      </c>
      <c r="P18" s="202">
        <f t="shared" si="9"/>
        <v>0</v>
      </c>
      <c r="Q18" s="202">
        <f t="shared" si="9"/>
        <v>0</v>
      </c>
      <c r="R18" s="202">
        <f t="shared" si="9"/>
        <v>0</v>
      </c>
      <c r="S18" s="202">
        <f t="shared" si="9"/>
        <v>0</v>
      </c>
      <c r="T18" s="202">
        <f t="shared" si="9"/>
        <v>0</v>
      </c>
      <c r="U18" s="202">
        <f t="shared" si="9"/>
        <v>0</v>
      </c>
      <c r="V18" s="202">
        <f t="shared" si="9"/>
        <v>0</v>
      </c>
    </row>
    <row r="19" spans="1:22" x14ac:dyDescent="0.45">
      <c r="A19" s="86" t="s">
        <v>169</v>
      </c>
      <c r="B19" s="141"/>
      <c r="C19" s="194" t="s">
        <v>86</v>
      </c>
      <c r="D19" s="199" t="s">
        <v>255</v>
      </c>
    </row>
    <row r="20" spans="1:22" x14ac:dyDescent="0.45">
      <c r="A20" t="s">
        <v>201</v>
      </c>
      <c r="B20" s="149" t="s">
        <v>262</v>
      </c>
      <c r="C20" s="195">
        <f>IF(J21&lt;=0,H21*I21,"0")+IF(J22&lt;=0,H22*I22,"0")+IF(J23&lt;=0,H23*I23,"0")+IF(J24&lt;=0,H24*I24,"0")+IF(J25&lt;=0,H25*I25,"0")</f>
        <v>0</v>
      </c>
      <c r="D20" s="203">
        <f>IF(L21&lt;=0,H21*K21,"0")+IF(L22&lt;=0,H22*K22,"0")+IF(L23&lt;=0,H23*K23,"0")+IF(L24&lt;=0,H24*K24,"0")+IF(L25&lt;=0,H25*K25,"0")</f>
        <v>0</v>
      </c>
      <c r="F20" s="289" t="s">
        <v>182</v>
      </c>
      <c r="G20" s="196" t="s">
        <v>179</v>
      </c>
      <c r="H20" s="193" t="s">
        <v>181</v>
      </c>
      <c r="I20" s="193" t="s">
        <v>242</v>
      </c>
      <c r="J20" s="193" t="s">
        <v>261</v>
      </c>
      <c r="K20" s="193" t="s">
        <v>243</v>
      </c>
      <c r="L20" s="193" t="s">
        <v>261</v>
      </c>
    </row>
    <row r="21" spans="1:22" x14ac:dyDescent="0.45">
      <c r="A21" s="147" t="s">
        <v>268</v>
      </c>
      <c r="B21" s="149" t="s">
        <v>263</v>
      </c>
      <c r="C21" s="195">
        <f>IF(AND(J21&gt;0,J21&lt;=1),H21*I21,"0")+IF(AND(J22&gt;0,J22&lt;=1),H22*I22,"0")+IF(AND(J23&gt;0,J23&lt;=1),H23*I23,"0")+IF(AND(J24&gt;0,J24&lt;=1),H24*I24,"0")+IF(AND(J25&gt;0,J25&lt;=1),H25*I25,"0")</f>
        <v>0</v>
      </c>
      <c r="D21" s="203">
        <f>IF(AND(L21&gt;0,L21&lt;=1),H21*K21,"0")+IF(AND(L22&gt;0,L22&lt;=1),H22*K22,"0")+IF(AND(L23&gt;0,L23&lt;=1),H23*K23,"0")+IF(AND(L24&gt;0,L24&lt;=1),H24*K24,"0")+IF(AND(L25&gt;0,L25&lt;=1),H25*K25)</f>
        <v>0</v>
      </c>
      <c r="F21" s="289"/>
      <c r="G21" s="152"/>
      <c r="H21" s="153"/>
      <c r="I21" s="153"/>
      <c r="J21" s="220"/>
      <c r="K21" s="153"/>
      <c r="L21" s="220"/>
      <c r="O21"/>
      <c r="P21"/>
      <c r="Q21"/>
    </row>
    <row r="22" spans="1:22" x14ac:dyDescent="0.45">
      <c r="A22" s="44"/>
      <c r="B22" s="149" t="s">
        <v>264</v>
      </c>
      <c r="C22" s="195">
        <f>IF(AND(J21&gt;1,J21&lt;=2),H21*I21,"0")+IF(AND(J22&gt;1,J22&lt;=2),H22*I22,"0")+IF(AND(J23&gt;1,J23&lt;=2),H23*I23,"0")+IF(AND(J24&gt;1,J24&lt;=2),H24*I24,"0")+IF(AND(J25&gt;1,J25&lt;=2),H25*I25,"0")</f>
        <v>0</v>
      </c>
      <c r="D22" s="203">
        <f>IF(AND(L21&gt;1,L21&lt;=2),H21*K21,"0")+IF(AND(L22&gt;1,L22&lt;=2),H22*K22,"0")+IF(AND(L23&gt;1,L23&lt;=2),H23*K23,"0")+IF(AND(L24&gt;1,L24&lt;=2),H24*K24,"0")+IF(AND(L25&gt;1,L25&lt;=2),H25*K25)</f>
        <v>0</v>
      </c>
      <c r="F22" s="289"/>
      <c r="G22" s="152"/>
      <c r="H22" s="153"/>
      <c r="I22" s="153"/>
      <c r="J22" s="220"/>
      <c r="K22" s="153"/>
      <c r="L22" s="220"/>
      <c r="O22"/>
      <c r="P22"/>
      <c r="Q22"/>
      <c r="R22" s="174"/>
    </row>
    <row r="23" spans="1:22" x14ac:dyDescent="0.45">
      <c r="B23" s="149" t="s">
        <v>265</v>
      </c>
      <c r="C23" s="195">
        <f>IF(AND(J21&gt;2,J21&lt;=3),H21*I21,"0")+IF(AND(J22&gt;2,J22&lt;=3),H22*I22,"0")+IF(AND(J23&gt;2,J23&lt;=3),H23*I23,"0")+IF(AND(J24&gt;2,J24&lt;=3),H24*I24,"0")+IF(AND(J25&gt;2,J25&lt;=3),H25*I25,"0")</f>
        <v>0</v>
      </c>
      <c r="D23" s="203">
        <f>IF(AND(L21&gt;2,L21&lt;=3),H21*K21,"0")+IF(AND(L22&gt;2,L22&lt;=3),H22*K22,"0")+IF(AND(L23&gt;2,L23&lt;=3),H23*K23,"0")+IF(AND(L24&gt;2,L24&lt;=3),H24*K24,"0")+IF(AND(L25&gt;2,L25&lt;=3),H25*K25)</f>
        <v>0</v>
      </c>
      <c r="F23" s="289"/>
      <c r="G23" s="152"/>
      <c r="H23" s="153"/>
      <c r="I23" s="153"/>
      <c r="J23" s="220"/>
      <c r="K23" s="153"/>
      <c r="L23" s="220"/>
      <c r="O23"/>
      <c r="P23"/>
      <c r="Q23"/>
      <c r="R23" s="174"/>
    </row>
    <row r="24" spans="1:22" x14ac:dyDescent="0.45">
      <c r="B24" s="149" t="s">
        <v>266</v>
      </c>
      <c r="C24" s="195">
        <f>IF(AND(J21&gt;3,J21&lt;=4),H21*I21,"0")+IF(AND(J22&gt;3,J22&lt;=4),H22*I22,"0")+IF(AND(J23&gt;3,J23&lt;=4),H23*I23,"0")+IF(AND(J24&gt;3,J24&lt;=4),H24*I24,"0")+IF(AND(J25&gt;3,J25&lt;=4),H25*I25,"0")</f>
        <v>0</v>
      </c>
      <c r="D24" s="203">
        <f>IF(AND(L21&gt;3,L21&lt;=4),H21*K21,"0")+IF(AND(L22&gt;3,L22&lt;=4),H22*K22,"0")+IF(AND(L23&gt;3,L23&lt;=4),H23*K23,"0")+IF(AND(L24&gt;3,L24&lt;=4),H24*K24,"0")+IF(AND(L25&gt;3,L25&lt;=4),H25*K25)</f>
        <v>0</v>
      </c>
      <c r="E24" s="198" t="s">
        <v>173</v>
      </c>
      <c r="F24" s="289"/>
      <c r="G24" s="152"/>
      <c r="H24" s="153"/>
      <c r="I24" s="153"/>
      <c r="J24" s="220"/>
      <c r="K24" s="153"/>
      <c r="L24" s="220"/>
      <c r="O24"/>
      <c r="P24"/>
      <c r="Q24"/>
      <c r="R24" s="174"/>
    </row>
    <row r="25" spans="1:22" x14ac:dyDescent="0.45">
      <c r="B25" s="149" t="s">
        <v>267</v>
      </c>
      <c r="C25" s="195">
        <f>IF(J21&gt;4,H21*I21,"0")+IF(J22&gt;4,H22*I22,"0")+IF(J23&gt;4,H23*I23,"0")+IF(J25&gt;4,H25*I25,"0")+IF(J24&gt;4,H24*I24,"0")</f>
        <v>0</v>
      </c>
      <c r="D25" s="203">
        <f>IF(L21&gt;4,H21*K21,"0")+IF(L22&gt;4,H22*K22,"0")+IF(L23&gt;4,H23*K23,"0")+IF(L24&gt;4,H24*K24,"0")+IF(L25&gt;4,H25*K25,"0")</f>
        <v>0</v>
      </c>
      <c r="F25" s="289"/>
      <c r="G25" s="152"/>
      <c r="H25" s="153"/>
      <c r="I25" s="153"/>
      <c r="J25" s="220"/>
      <c r="K25" s="153"/>
      <c r="L25" s="220"/>
      <c r="O25"/>
      <c r="P25"/>
      <c r="Q25"/>
      <c r="R25" s="174"/>
    </row>
    <row r="26" spans="1:22" ht="18.75" customHeight="1" x14ac:dyDescent="0.45">
      <c r="B26" s="149" t="s">
        <v>241</v>
      </c>
      <c r="C26" s="195">
        <f>SUM(C20:C25)</f>
        <v>0</v>
      </c>
      <c r="D26" s="203">
        <f>SUM(D20:D25)</f>
        <v>0</v>
      </c>
      <c r="F26" s="94"/>
      <c r="G26" s="94"/>
      <c r="H26" s="94"/>
      <c r="I26" s="94"/>
      <c r="J26" s="94"/>
      <c r="K26" s="94"/>
      <c r="L26" s="94"/>
      <c r="O26"/>
      <c r="P26"/>
      <c r="Q26"/>
      <c r="R26" s="174"/>
    </row>
    <row r="27" spans="1:22" x14ac:dyDescent="0.45">
      <c r="B27" s="94"/>
      <c r="C27" s="94"/>
      <c r="D27" s="94"/>
      <c r="E27" s="94"/>
      <c r="F27" s="94"/>
      <c r="G27" s="94"/>
      <c r="H27" s="94"/>
      <c r="I27" s="94"/>
      <c r="J27" s="94"/>
      <c r="K27" s="94"/>
      <c r="L27" s="94"/>
      <c r="O27"/>
      <c r="P27"/>
      <c r="Q27"/>
      <c r="R27" s="174"/>
    </row>
    <row r="28" spans="1:22" x14ac:dyDescent="0.45">
      <c r="A28" s="86" t="s">
        <v>168</v>
      </c>
      <c r="B28" s="150"/>
      <c r="C28" s="194" t="s">
        <v>86</v>
      </c>
      <c r="D28" s="199" t="s">
        <v>255</v>
      </c>
      <c r="F28" s="141"/>
      <c r="O28"/>
      <c r="P28"/>
      <c r="Q28"/>
      <c r="R28" s="174"/>
    </row>
    <row r="29" spans="1:22" x14ac:dyDescent="0.45">
      <c r="A29" t="s">
        <v>202</v>
      </c>
      <c r="B29" s="149" t="s">
        <v>262</v>
      </c>
      <c r="C29" s="195">
        <f>IF(J30&lt;=0,H30*I30,"0")+IF(J31&lt;=0,H31*I31,"0")+IF(J32&lt;=0,H32*I32,"0")+IF(J33&lt;=0,H33*I33,"0")+IF(J34&lt;=0,H34*I34,"0")</f>
        <v>0</v>
      </c>
      <c r="D29" s="203">
        <f>IF(L30&lt;=0,H30*K30,"0")+IF(L31&lt;=0,H31*K31,"0")+IF(L32&lt;=0,H32*K32,"0")+IF(L33&lt;=0,H33*K33,"0")+IF(L34&lt;=0,H34*K34,"0")</f>
        <v>0</v>
      </c>
      <c r="F29" s="289" t="s">
        <v>183</v>
      </c>
      <c r="G29" s="196" t="s">
        <v>179</v>
      </c>
      <c r="H29" s="193" t="s">
        <v>181</v>
      </c>
      <c r="I29" s="193" t="s">
        <v>242</v>
      </c>
      <c r="J29" s="193" t="s">
        <v>261</v>
      </c>
      <c r="K29" s="193" t="s">
        <v>243</v>
      </c>
      <c r="L29" s="193" t="s">
        <v>261</v>
      </c>
      <c r="O29"/>
      <c r="P29"/>
      <c r="Q29"/>
      <c r="R29" s="174"/>
    </row>
    <row r="30" spans="1:22" x14ac:dyDescent="0.45">
      <c r="A30" s="147" t="s">
        <v>184</v>
      </c>
      <c r="B30" s="149" t="s">
        <v>263</v>
      </c>
      <c r="C30" s="195">
        <f>IF(AND(J30&gt;0,J30&lt;=1),H30*I30,"0")+IF(AND(J31&gt;0,J31&lt;=1),H31*I31,"0")+IF(AND(J32&gt;0,J32&lt;=1),H32*I32,"0")+IF(AND(J33&gt;0,J33&lt;=1),H33*I33,"0")+IF(AND(J34&gt;0,J34&lt;=1),H34*I34,"0")</f>
        <v>0</v>
      </c>
      <c r="D30" s="203">
        <f>IF(AND(L30&gt;0,L30&lt;=1),H30*K30,"0")+IF(AND(L31&gt;0,L31&lt;=1),H31*K31,"0")+IF(AND(L32&gt;0,L32&lt;=1),H32*K32,"0")+IF(AND(L33&gt;0,L33&lt;=1),H33*K33,"0")+IF(AND(L34&gt;0,L34&lt;=1),H34*K34)</f>
        <v>0</v>
      </c>
      <c r="F30" s="289"/>
      <c r="G30" s="152"/>
      <c r="H30" s="153"/>
      <c r="I30" s="153"/>
      <c r="J30" s="220"/>
      <c r="K30" s="153"/>
      <c r="L30" s="220"/>
      <c r="O30"/>
      <c r="P30"/>
      <c r="Q30"/>
      <c r="R30" s="174"/>
    </row>
    <row r="31" spans="1:22" x14ac:dyDescent="0.45">
      <c r="B31" s="149" t="s">
        <v>264</v>
      </c>
      <c r="C31" s="195">
        <f>IF(AND(J30&gt;1,J30&lt;=2),H30*I30,"0")+IF(AND(J31&gt;1,J31&lt;=2),H31*I31,"0")+IF(AND(J32&gt;1,J32&lt;=2),H32*I32,"0")+IF(AND(J33&gt;1,J33&lt;=2),H33*I33,"0")+IF(AND(J34&gt;1,J34&lt;=2),H34*I34,"0")</f>
        <v>0</v>
      </c>
      <c r="D31" s="203">
        <f>IF(AND(L30&gt;1,L30&lt;=2),H30*K30,"0")+IF(AND(L31&gt;1,L31&lt;=2),H31*K31,"0")+IF(AND(L32&gt;1,L32&lt;=2),H32*K32,"0")+IF(AND(L33&gt;1,L33&lt;=2),H33*K33,"0")+IF(AND(L34&gt;1,L34&lt;=2),H34*K34)</f>
        <v>0</v>
      </c>
      <c r="F31" s="289"/>
      <c r="G31" s="152"/>
      <c r="H31" s="153"/>
      <c r="I31" s="153"/>
      <c r="J31" s="220"/>
      <c r="K31" s="153"/>
      <c r="L31" s="220"/>
      <c r="O31"/>
      <c r="P31"/>
      <c r="Q31"/>
      <c r="R31" s="174"/>
    </row>
    <row r="32" spans="1:22" x14ac:dyDescent="0.45">
      <c r="B32" s="149" t="s">
        <v>265</v>
      </c>
      <c r="C32" s="195">
        <f>IF(AND(J30&gt;2,J30&lt;=3),H30*I30,"0")+IF(AND(J31&gt;2,J31&lt;=3),H31*I31,"0")+IF(AND(J32&gt;2,J32&lt;=3),H32*I32,"0")+IF(AND(J33&gt;2,J33&lt;=3),H33*I33,"0")+IF(AND(J34&gt;2,J34&lt;=3),H34*I34,"0")</f>
        <v>0</v>
      </c>
      <c r="D32" s="203">
        <f>IF(AND(L30&gt;2,L30&lt;=3),H30*K30,"0")+IF(AND(L31&gt;2,L31&lt;=3),H31*K31,"0")+IF(AND(L32&gt;2,L32&lt;=3),H32*K32,"0")+IF(AND(L33&gt;2,L33&lt;=3),H33*K33,"0")+IF(AND(L34&gt;2,L34&lt;=3),H34*K34)</f>
        <v>0</v>
      </c>
      <c r="F32" s="289"/>
      <c r="G32" s="152"/>
      <c r="H32" s="153"/>
      <c r="I32" s="153"/>
      <c r="J32" s="220"/>
      <c r="K32" s="156"/>
      <c r="L32" s="220"/>
      <c r="O32"/>
      <c r="P32"/>
      <c r="Q32"/>
      <c r="R32" s="174"/>
    </row>
    <row r="33" spans="1:21" x14ac:dyDescent="0.45">
      <c r="B33" s="149" t="s">
        <v>266</v>
      </c>
      <c r="C33" s="195">
        <f>IF(AND(J30&gt;3,J30&lt;=4),H30*I30,"0")+IF(AND(J31&gt;3,J31&lt;=4),H31*I31,"0")+IF(AND(J32&gt;3,J32&lt;=4),H32*I32,"0")+IF(AND(J33&gt;3,J33&lt;=4),H33*I33,"0")+IF(AND(J34&gt;3,J34&lt;=4),H34*I34,"0")</f>
        <v>0</v>
      </c>
      <c r="D33" s="203">
        <f>IF(AND(L30&gt;3,L30&lt;=4),H30*K30,"0")+IF(AND(L31&gt;3,L31&lt;=4),H31*K31,"0")+IF(AND(L32&gt;3,L32&lt;=4),H32*K32,"0")+IF(AND(L33&gt;3,L33&lt;=4),H33*K33,"0")+IF(AND(L34&gt;3,L34&lt;=4),H34*K34)</f>
        <v>0</v>
      </c>
      <c r="E33" s="197" t="s">
        <v>178</v>
      </c>
      <c r="F33" s="289"/>
      <c r="G33" s="152"/>
      <c r="H33" s="156"/>
      <c r="I33" s="156"/>
      <c r="J33" s="220"/>
      <c r="K33" s="156"/>
      <c r="L33" s="220"/>
      <c r="O33"/>
      <c r="P33"/>
      <c r="Q33"/>
      <c r="R33" s="174"/>
    </row>
    <row r="34" spans="1:21" x14ac:dyDescent="0.45">
      <c r="B34" s="149" t="s">
        <v>267</v>
      </c>
      <c r="C34" s="195">
        <f>IF(J30&gt;4,H30*I30,"0")+IF(J31&gt;4,H31*I31,"0")+IF(J32&gt;4,H32*I32,"0")+IF(J34&gt;4,H34*I34,"0")+IF(J33&gt;4,H33*I33,"0")</f>
        <v>0</v>
      </c>
      <c r="D34" s="203">
        <f>IF(L30&gt;4,H30*K30,"0")+IF(L31&gt;4,H31*K31,"0")+IF(L32&gt;4,H32*K32,"0")+IF(L33&gt;4,H33*K33,"0")+IF(L34&gt;4,H34*K34,"0")</f>
        <v>0</v>
      </c>
      <c r="F34" s="289"/>
      <c r="G34" s="152"/>
      <c r="H34" s="156"/>
      <c r="I34" s="156"/>
      <c r="J34" s="220"/>
      <c r="K34" s="156"/>
      <c r="L34" s="220"/>
      <c r="O34"/>
      <c r="P34"/>
      <c r="Q34"/>
      <c r="R34" s="174"/>
    </row>
    <row r="35" spans="1:21" ht="18.75" customHeight="1" x14ac:dyDescent="0.45">
      <c r="B35" s="149" t="s">
        <v>241</v>
      </c>
      <c r="C35" s="195">
        <f>SUM(C29:C34)</f>
        <v>0</v>
      </c>
      <c r="D35" s="203">
        <f>SUM(D29:D34)</f>
        <v>0</v>
      </c>
      <c r="G35" s="145"/>
      <c r="I35" s="94"/>
      <c r="J35" s="94"/>
      <c r="L35" s="94"/>
      <c r="O35"/>
      <c r="P35"/>
      <c r="Q35"/>
      <c r="R35" s="174"/>
    </row>
    <row r="36" spans="1:21" x14ac:dyDescent="0.45">
      <c r="B36" s="149"/>
      <c r="G36" s="145"/>
      <c r="I36" s="94"/>
      <c r="J36" s="94"/>
      <c r="L36" s="94"/>
      <c r="R36" s="174"/>
    </row>
    <row r="37" spans="1:21" x14ac:dyDescent="0.45">
      <c r="A37" s="86" t="s">
        <v>174</v>
      </c>
      <c r="B37" s="142"/>
      <c r="C37" s="142"/>
      <c r="D37" s="171">
        <f>'資金繰り予定表 (製造原価あり)'!$C$5</f>
        <v>44866</v>
      </c>
      <c r="E37" s="171">
        <f>'資金繰り予定表 (製造原価あり)'!$D$5</f>
        <v>44896</v>
      </c>
      <c r="F37" s="171">
        <f>'資金繰り予定表 (製造原価あり)'!$E$5</f>
        <v>44927</v>
      </c>
      <c r="G37" s="171">
        <f>'資金繰り予定表 (製造原価あり)'!$F$5</f>
        <v>44958</v>
      </c>
      <c r="H37" s="171">
        <f>'資金繰り予定表 (製造原価あり)'!$G$5</f>
        <v>44986</v>
      </c>
      <c r="I37" s="171">
        <f>'資金繰り予定表 (製造原価あり)'!$H$5</f>
        <v>45017</v>
      </c>
      <c r="J37" s="171">
        <f>'資金繰り予定表 (製造原価あり)'!$I$5</f>
        <v>45047</v>
      </c>
      <c r="K37" s="171">
        <f>'資金繰り予定表 (製造原価あり)'!$J$5</f>
        <v>45078</v>
      </c>
      <c r="L37" s="94"/>
    </row>
    <row r="38" spans="1:21" x14ac:dyDescent="0.45">
      <c r="A38" t="s">
        <v>185</v>
      </c>
      <c r="B38" s="282" t="s">
        <v>150</v>
      </c>
      <c r="C38" s="283"/>
      <c r="D38" s="221"/>
      <c r="E38" s="221"/>
      <c r="F38" s="221"/>
      <c r="G38" s="221"/>
      <c r="H38" s="221"/>
      <c r="I38" s="221"/>
      <c r="J38" s="221"/>
      <c r="K38" s="221"/>
      <c r="L38" s="94"/>
    </row>
    <row r="39" spans="1:21" x14ac:dyDescent="0.45">
      <c r="B39" s="139"/>
      <c r="D39" s="143"/>
      <c r="E39" s="143"/>
      <c r="G39" s="145"/>
      <c r="I39" s="94"/>
      <c r="J39" s="94"/>
      <c r="L39" s="94"/>
      <c r="M39" s="94"/>
    </row>
    <row r="40" spans="1:21" x14ac:dyDescent="0.45">
      <c r="B40" s="139"/>
      <c r="D40" s="143"/>
      <c r="E40" s="143"/>
      <c r="F40" s="46"/>
      <c r="G40" s="46"/>
      <c r="H40" s="46"/>
      <c r="K40" s="113"/>
      <c r="L40" s="94"/>
      <c r="M40" s="94"/>
    </row>
    <row r="41" spans="1:21" x14ac:dyDescent="0.45">
      <c r="A41" s="86" t="s">
        <v>167</v>
      </c>
      <c r="B41" s="142"/>
      <c r="C41" s="138"/>
      <c r="D41" s="279" t="s">
        <v>172</v>
      </c>
      <c r="E41" s="280"/>
      <c r="F41" s="279" t="s">
        <v>198</v>
      </c>
      <c r="G41" s="281"/>
      <c r="H41" s="281"/>
      <c r="I41" s="281"/>
      <c r="J41" s="281"/>
      <c r="K41" s="280"/>
      <c r="L41" s="146"/>
      <c r="M41" s="146"/>
      <c r="N41" s="114"/>
      <c r="O41" s="175"/>
      <c r="P41" s="175"/>
      <c r="Q41" s="175"/>
    </row>
    <row r="42" spans="1:21" ht="18.75" customHeight="1" x14ac:dyDescent="0.45">
      <c r="A42" t="s">
        <v>188</v>
      </c>
      <c r="B42" s="142"/>
      <c r="C42" s="138"/>
      <c r="D42" s="171">
        <f>'資金繰り予定表 (製造原価あり)'!$C$5</f>
        <v>44866</v>
      </c>
      <c r="E42" s="171">
        <f>'資金繰り予定表 (製造原価あり)'!$D$5</f>
        <v>44896</v>
      </c>
      <c r="F42" s="171">
        <f>'資金繰り予定表 (製造原価あり)'!$E$5</f>
        <v>44927</v>
      </c>
      <c r="G42" s="171">
        <f>'資金繰り予定表 (製造原価あり)'!$F$5</f>
        <v>44958</v>
      </c>
      <c r="H42" s="171">
        <f>'資金繰り予定表 (製造原価あり)'!$G$5</f>
        <v>44986</v>
      </c>
      <c r="I42" s="171">
        <f>'資金繰り予定表 (製造原価あり)'!$H$5</f>
        <v>45017</v>
      </c>
      <c r="J42" s="171">
        <f>'資金繰り予定表 (製造原価あり)'!$I$5</f>
        <v>45047</v>
      </c>
      <c r="K42" s="171">
        <f>'資金繰り予定表 (製造原価あり)'!$J$5</f>
        <v>45078</v>
      </c>
      <c r="L42" s="146"/>
      <c r="M42" s="146"/>
      <c r="N42" s="166" t="s">
        <v>172</v>
      </c>
      <c r="O42" s="170" t="s">
        <v>210</v>
      </c>
      <c r="P42" s="276" t="s">
        <v>251</v>
      </c>
      <c r="Q42" s="273"/>
      <c r="R42" s="46"/>
    </row>
    <row r="43" spans="1:21" x14ac:dyDescent="0.45">
      <c r="A43" t="s">
        <v>213</v>
      </c>
      <c r="B43" s="282" t="s">
        <v>48</v>
      </c>
      <c r="C43" s="283"/>
      <c r="D43" s="221"/>
      <c r="E43" s="221"/>
      <c r="F43" s="221"/>
      <c r="G43" s="221"/>
      <c r="H43" s="221"/>
      <c r="I43" s="221"/>
      <c r="J43" s="221"/>
      <c r="K43" s="221"/>
      <c r="L43" s="146"/>
      <c r="M43" s="267" t="s">
        <v>212</v>
      </c>
      <c r="N43" s="176"/>
      <c r="O43" s="222"/>
      <c r="P43" s="173" t="s">
        <v>250</v>
      </c>
      <c r="Q43" s="222"/>
      <c r="R43" s="46"/>
      <c r="S43" s="46"/>
      <c r="T43" s="114"/>
      <c r="U43" s="46"/>
    </row>
    <row r="44" spans="1:21" x14ac:dyDescent="0.45">
      <c r="A44" s="165" t="s">
        <v>218</v>
      </c>
      <c r="B44" s="215" t="s">
        <v>212</v>
      </c>
      <c r="C44" s="194" t="s">
        <v>211</v>
      </c>
      <c r="D44" s="218"/>
      <c r="E44" s="218"/>
      <c r="F44" s="218"/>
      <c r="G44" s="218"/>
      <c r="H44" s="218"/>
      <c r="I44" s="218"/>
      <c r="J44" s="218"/>
      <c r="K44" s="218"/>
      <c r="L44" s="146"/>
      <c r="M44" s="268"/>
      <c r="N44" s="173" t="s">
        <v>214</v>
      </c>
      <c r="O44" s="222"/>
      <c r="P44" s="173" t="s">
        <v>252</v>
      </c>
      <c r="Q44" s="222"/>
      <c r="R44" s="46"/>
      <c r="S44" s="46"/>
      <c r="T44" s="114"/>
      <c r="U44" s="46"/>
    </row>
    <row r="45" spans="1:21" x14ac:dyDescent="0.45">
      <c r="A45" s="147" t="s">
        <v>217</v>
      </c>
      <c r="B45" s="171" t="s">
        <v>49</v>
      </c>
      <c r="C45" s="194" t="s">
        <v>78</v>
      </c>
      <c r="D45" s="218"/>
      <c r="E45" s="218"/>
      <c r="F45" s="218"/>
      <c r="G45" s="218"/>
      <c r="H45" s="218"/>
      <c r="I45" s="218"/>
      <c r="J45" s="218"/>
      <c r="K45" s="218"/>
      <c r="L45" s="146"/>
      <c r="M45" s="268"/>
      <c r="N45" s="173" t="s">
        <v>50</v>
      </c>
      <c r="O45" s="222"/>
      <c r="P45" s="173" t="s">
        <v>253</v>
      </c>
      <c r="Q45" s="222"/>
      <c r="S45" s="46"/>
      <c r="T45" s="114"/>
      <c r="U45" s="46"/>
    </row>
    <row r="46" spans="1:21" x14ac:dyDescent="0.45">
      <c r="A46" s="164" t="s">
        <v>219</v>
      </c>
      <c r="B46" s="277" t="s">
        <v>215</v>
      </c>
      <c r="C46" s="278"/>
      <c r="D46" s="219">
        <f t="shared" ref="D46:K46" si="10">$O$59</f>
        <v>0</v>
      </c>
      <c r="E46" s="219">
        <f t="shared" si="10"/>
        <v>0</v>
      </c>
      <c r="F46" s="219">
        <f t="shared" si="10"/>
        <v>0</v>
      </c>
      <c r="G46" s="219">
        <f t="shared" si="10"/>
        <v>0</v>
      </c>
      <c r="H46" s="219">
        <f t="shared" si="10"/>
        <v>0</v>
      </c>
      <c r="I46" s="219">
        <f t="shared" si="10"/>
        <v>0</v>
      </c>
      <c r="J46" s="219">
        <f t="shared" si="10"/>
        <v>0</v>
      </c>
      <c r="K46" s="219">
        <f t="shared" si="10"/>
        <v>0</v>
      </c>
      <c r="L46" s="146"/>
      <c r="M46" s="268"/>
      <c r="N46" s="168" t="s">
        <v>177</v>
      </c>
      <c r="O46" s="222"/>
      <c r="P46" s="173" t="s">
        <v>254</v>
      </c>
      <c r="Q46" s="223">
        <f>SUM(Q43:Q45)</f>
        <v>0</v>
      </c>
    </row>
    <row r="47" spans="1:21" x14ac:dyDescent="0.45">
      <c r="A47" s="147" t="s">
        <v>208</v>
      </c>
      <c r="B47" s="277" t="s">
        <v>209</v>
      </c>
      <c r="C47" s="278"/>
      <c r="D47" s="218"/>
      <c r="E47" s="218"/>
      <c r="F47" s="218"/>
      <c r="G47" s="218"/>
      <c r="H47" s="218"/>
      <c r="I47" s="218"/>
      <c r="J47" s="218"/>
      <c r="K47" s="218"/>
      <c r="L47" s="146"/>
      <c r="M47" s="268"/>
      <c r="N47" s="173" t="s">
        <v>244</v>
      </c>
      <c r="O47" s="222"/>
      <c r="P47" s="224"/>
      <c r="Q47" s="207"/>
    </row>
    <row r="48" spans="1:21" x14ac:dyDescent="0.45">
      <c r="A48" s="147" t="s">
        <v>245</v>
      </c>
      <c r="B48" s="277" t="s">
        <v>194</v>
      </c>
      <c r="C48" s="278"/>
      <c r="D48" s="218"/>
      <c r="E48" s="218"/>
      <c r="F48" s="218"/>
      <c r="G48" s="218"/>
      <c r="H48" s="218"/>
      <c r="I48" s="218"/>
      <c r="J48" s="218"/>
      <c r="K48" s="218"/>
      <c r="L48" s="146"/>
      <c r="M48" s="269"/>
      <c r="N48" s="196" t="s">
        <v>209</v>
      </c>
      <c r="O48" s="222"/>
      <c r="P48" s="225"/>
      <c r="Q48" s="207"/>
    </row>
    <row r="49" spans="1:21" x14ac:dyDescent="0.45">
      <c r="A49" s="164"/>
      <c r="B49" s="139"/>
      <c r="D49" s="143"/>
      <c r="E49" s="143"/>
      <c r="F49" s="46"/>
      <c r="G49" s="46"/>
      <c r="H49" s="46"/>
      <c r="K49" s="113"/>
      <c r="L49" s="146"/>
      <c r="M49" s="267" t="s">
        <v>216</v>
      </c>
      <c r="N49" s="217"/>
      <c r="O49" s="222"/>
      <c r="P49" s="207"/>
      <c r="Q49" s="207"/>
    </row>
    <row r="50" spans="1:21" x14ac:dyDescent="0.45">
      <c r="A50" s="164"/>
      <c r="B50" s="117"/>
      <c r="D50" s="143"/>
      <c r="G50" s="172"/>
      <c r="H50" s="46"/>
      <c r="K50" s="172"/>
      <c r="L50" s="146"/>
      <c r="M50" s="268"/>
      <c r="N50" s="216" t="s">
        <v>78</v>
      </c>
      <c r="O50" s="222"/>
      <c r="P50" s="207"/>
      <c r="Q50" s="207"/>
    </row>
    <row r="51" spans="1:21" x14ac:dyDescent="0.45">
      <c r="B51" s="144"/>
      <c r="L51" s="146"/>
      <c r="M51" s="268"/>
      <c r="N51" s="167" t="s">
        <v>177</v>
      </c>
      <c r="O51" s="222"/>
      <c r="P51" s="207"/>
      <c r="Q51" s="207"/>
    </row>
    <row r="52" spans="1:21" x14ac:dyDescent="0.45">
      <c r="A52" s="86" t="s">
        <v>166</v>
      </c>
      <c r="D52" s="171">
        <f>'資金繰り予定表 (製造原価あり)'!$C$5</f>
        <v>44866</v>
      </c>
      <c r="E52" s="171">
        <f>'資金繰り予定表 (製造原価あり)'!$D$5</f>
        <v>44896</v>
      </c>
      <c r="F52" s="171">
        <f>'資金繰り予定表 (製造原価あり)'!$E$5</f>
        <v>44927</v>
      </c>
      <c r="G52" s="171">
        <f>'資金繰り予定表 (製造原価あり)'!$F$5</f>
        <v>44958</v>
      </c>
      <c r="H52" s="171">
        <f>'資金繰り予定表 (製造原価あり)'!$G$5</f>
        <v>44986</v>
      </c>
      <c r="I52" s="171">
        <f>'資金繰り予定表 (製造原価あり)'!$H$5</f>
        <v>45017</v>
      </c>
      <c r="J52" s="171">
        <f>'資金繰り予定表 (製造原価あり)'!$I$5</f>
        <v>45047</v>
      </c>
      <c r="K52" s="171">
        <f>'資金繰り予定表 (製造原価あり)'!$J$5</f>
        <v>45078</v>
      </c>
      <c r="L52" s="146"/>
      <c r="M52" s="268"/>
      <c r="N52" s="216" t="s">
        <v>244</v>
      </c>
      <c r="O52" s="222"/>
      <c r="P52" s="207"/>
      <c r="Q52" s="207"/>
    </row>
    <row r="53" spans="1:21" x14ac:dyDescent="0.45">
      <c r="A53" s="141" t="s">
        <v>246</v>
      </c>
      <c r="B53" s="282" t="s">
        <v>249</v>
      </c>
      <c r="C53" s="283"/>
      <c r="D53" s="221"/>
      <c r="E53" s="221"/>
      <c r="F53" s="221"/>
      <c r="G53" s="221"/>
      <c r="H53" s="221"/>
      <c r="I53" s="221"/>
      <c r="J53" s="221"/>
      <c r="K53" s="221"/>
      <c r="L53" s="146"/>
      <c r="M53" s="269"/>
      <c r="N53" s="196" t="s">
        <v>209</v>
      </c>
      <c r="O53" s="222"/>
      <c r="P53" s="207"/>
      <c r="Q53" s="207"/>
    </row>
    <row r="54" spans="1:21" x14ac:dyDescent="0.45">
      <c r="A54" s="160" t="s">
        <v>204</v>
      </c>
      <c r="B54" s="288" t="s">
        <v>248</v>
      </c>
      <c r="C54" s="288"/>
      <c r="D54" s="221"/>
      <c r="E54" s="221"/>
      <c r="F54" s="221"/>
      <c r="G54" s="221"/>
      <c r="H54" s="221"/>
      <c r="I54" s="221"/>
      <c r="J54" s="221"/>
      <c r="K54" s="221"/>
      <c r="L54" s="146"/>
      <c r="M54" s="264" t="s">
        <v>220</v>
      </c>
      <c r="N54" s="265"/>
      <c r="O54" s="227"/>
      <c r="P54" s="207"/>
      <c r="Q54" s="207"/>
      <c r="R54" s="169"/>
    </row>
    <row r="55" spans="1:21" x14ac:dyDescent="0.45">
      <c r="A55" s="141" t="s">
        <v>247</v>
      </c>
      <c r="B55" s="277" t="s">
        <v>148</v>
      </c>
      <c r="C55" s="278"/>
      <c r="D55" s="221"/>
      <c r="E55" s="221"/>
      <c r="F55" s="221"/>
      <c r="G55" s="221"/>
      <c r="H55" s="221"/>
      <c r="I55" s="221"/>
      <c r="J55" s="221"/>
      <c r="K55" s="221"/>
      <c r="L55" s="146"/>
      <c r="M55" s="264" t="s">
        <v>270</v>
      </c>
      <c r="N55" s="265"/>
      <c r="O55" s="223">
        <f>O49+O43-O50-O51-O52-O44-O46-O47-O54-O53-O45-O48</f>
        <v>0</v>
      </c>
      <c r="R55" s="169"/>
    </row>
    <row r="56" spans="1:21" x14ac:dyDescent="0.45">
      <c r="A56" s="86" t="s">
        <v>164</v>
      </c>
      <c r="B56" s="142"/>
      <c r="C56" s="142"/>
      <c r="D56" s="142"/>
      <c r="E56" s="142"/>
      <c r="F56" s="142"/>
      <c r="G56" s="142"/>
      <c r="H56" s="142"/>
      <c r="L56" s="146"/>
      <c r="M56" s="264" t="s">
        <v>269</v>
      </c>
      <c r="N56" s="265"/>
      <c r="O56" s="226">
        <v>12</v>
      </c>
      <c r="P56"/>
      <c r="Q56"/>
      <c r="R56" s="46"/>
    </row>
    <row r="57" spans="1:21" x14ac:dyDescent="0.45">
      <c r="A57" s="160" t="s">
        <v>203</v>
      </c>
      <c r="D57" s="148"/>
      <c r="L57" s="146"/>
      <c r="M57" s="264" t="s">
        <v>273</v>
      </c>
      <c r="N57" s="265"/>
      <c r="O57" s="228">
        <f>O55/O56</f>
        <v>0</v>
      </c>
      <c r="P57"/>
      <c r="Q57"/>
      <c r="R57" s="46"/>
      <c r="S57" s="46"/>
      <c r="T57" s="114"/>
      <c r="U57" s="46"/>
    </row>
    <row r="58" spans="1:21" x14ac:dyDescent="0.45">
      <c r="A58" s="147" t="s">
        <v>180</v>
      </c>
      <c r="B58" s="139">
        <f>'資金繰り予定表 (製造原価あり)'!$D$5</f>
        <v>44896</v>
      </c>
      <c r="C58" s="160" t="s">
        <v>199</v>
      </c>
      <c r="D58" s="154"/>
      <c r="E58" s="141" t="s">
        <v>45</v>
      </c>
      <c r="L58" s="146"/>
      <c r="M58" s="264" t="s">
        <v>254</v>
      </c>
      <c r="N58" s="265"/>
      <c r="O58" s="228">
        <f>Q46</f>
        <v>0</v>
      </c>
      <c r="P58"/>
      <c r="Q58"/>
    </row>
    <row r="59" spans="1:21" x14ac:dyDescent="0.45">
      <c r="L59" s="146"/>
      <c r="M59" s="264" t="s">
        <v>271</v>
      </c>
      <c r="N59" s="265"/>
      <c r="O59" s="229">
        <f>O57+O58</f>
        <v>0</v>
      </c>
      <c r="P59"/>
      <c r="Q59"/>
    </row>
    <row r="60" spans="1:21" x14ac:dyDescent="0.45">
      <c r="O60"/>
      <c r="P60"/>
      <c r="Q60"/>
    </row>
    <row r="61" spans="1:21" x14ac:dyDescent="0.45">
      <c r="M61" s="114"/>
      <c r="N61" s="46"/>
      <c r="O61"/>
      <c r="P61"/>
      <c r="Q61"/>
    </row>
    <row r="62" spans="1:21" x14ac:dyDescent="0.45">
      <c r="O62"/>
      <c r="P62"/>
      <c r="Q62"/>
    </row>
    <row r="63" spans="1:21" x14ac:dyDescent="0.45">
      <c r="O63"/>
    </row>
  </sheetData>
  <mergeCells count="31">
    <mergeCell ref="B55:C55"/>
    <mergeCell ref="B54:C54"/>
    <mergeCell ref="B48:C48"/>
    <mergeCell ref="B53:C53"/>
    <mergeCell ref="F20:F25"/>
    <mergeCell ref="F29:F34"/>
    <mergeCell ref="B38:C38"/>
    <mergeCell ref="B3:C3"/>
    <mergeCell ref="B4:B5"/>
    <mergeCell ref="B6:B7"/>
    <mergeCell ref="P42:Q42"/>
    <mergeCell ref="B47:C47"/>
    <mergeCell ref="B46:C46"/>
    <mergeCell ref="D41:E41"/>
    <mergeCell ref="F41:K41"/>
    <mergeCell ref="M43:M48"/>
    <mergeCell ref="B43:C43"/>
    <mergeCell ref="L12:M12"/>
    <mergeCell ref="B11:B12"/>
    <mergeCell ref="B13:B14"/>
    <mergeCell ref="M57:N57"/>
    <mergeCell ref="M59:N59"/>
    <mergeCell ref="M58:N58"/>
    <mergeCell ref="D2:E2"/>
    <mergeCell ref="F2:K2"/>
    <mergeCell ref="D9:E9"/>
    <mergeCell ref="F9:K9"/>
    <mergeCell ref="M54:N54"/>
    <mergeCell ref="M55:N55"/>
    <mergeCell ref="M56:N56"/>
    <mergeCell ref="M49:M53"/>
  </mergeCells>
  <phoneticPr fontId="3"/>
  <dataValidations count="1">
    <dataValidation type="list" allowBlank="1" showInputMessage="1" showErrorMessage="1" sqref="O56" xr:uid="{D846C6A7-69D3-4585-8B4F-81A014497BD9}">
      <formula1>"1,2,3,4,5,6,7,8,9,10,11,12"</formula1>
    </dataValidation>
  </dataValidations>
  <pageMargins left="0.7" right="0.7" top="0.75" bottom="0.75" header="0.3" footer="0.3"/>
  <pageSetup paperSize="8"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47DE9-2241-4C26-801C-D2ABA7F5AAA9}">
  <sheetPr>
    <tabColor rgb="FFFF0000"/>
  </sheetPr>
  <dimension ref="A1:AC26"/>
  <sheetViews>
    <sheetView workbookViewId="0">
      <pane ySplit="2" topLeftCell="A3" activePane="bottomLeft" state="frozen"/>
      <selection pane="bottomLeft" activeCell="A4" sqref="A4"/>
    </sheetView>
  </sheetViews>
  <sheetFormatPr defaultColWidth="9" defaultRowHeight="18" x14ac:dyDescent="0.45"/>
  <cols>
    <col min="1" max="1" width="7.69921875" style="180" bestFit="1" customWidth="1"/>
    <col min="2" max="2" width="9" style="180"/>
    <col min="3" max="5" width="6.5" style="180" customWidth="1"/>
    <col min="6" max="6" width="9" style="180"/>
    <col min="7" max="7" width="7.69921875" style="180" bestFit="1" customWidth="1"/>
    <col min="8" max="8" width="3.69921875" style="180" customWidth="1"/>
    <col min="9" max="9" width="10.3984375" style="184" customWidth="1"/>
    <col min="10" max="10" width="7.69921875" style="191" bestFit="1" customWidth="1"/>
    <col min="11" max="11" width="11.8984375" style="180" customWidth="1"/>
    <col min="12" max="12" width="7.69921875" style="180" bestFit="1" customWidth="1"/>
    <col min="13" max="13" width="9" style="180"/>
    <col min="14" max="16" width="6.5" style="180" customWidth="1"/>
    <col min="17" max="17" width="9" style="180"/>
    <col min="18" max="18" width="7.69921875" style="180" bestFit="1" customWidth="1"/>
    <col min="19" max="19" width="3.69921875" style="180" customWidth="1"/>
    <col min="20" max="20" width="10.5" style="184" customWidth="1"/>
    <col min="21" max="21" width="11.19921875" style="180" customWidth="1"/>
    <col min="22" max="27" width="9" style="180" hidden="1" customWidth="1"/>
    <col min="28" max="29" width="12.09765625" style="180" hidden="1" customWidth="1"/>
    <col min="30" max="16384" width="9" style="180"/>
  </cols>
  <sheetData>
    <row r="1" spans="1:29" x14ac:dyDescent="0.45">
      <c r="A1" s="291" t="s">
        <v>227</v>
      </c>
      <c r="B1" s="291"/>
      <c r="C1" s="291"/>
      <c r="D1" s="291"/>
      <c r="E1" s="291"/>
      <c r="F1" s="291"/>
      <c r="G1" s="291"/>
      <c r="H1" s="291"/>
      <c r="I1" s="291"/>
      <c r="J1" s="291"/>
      <c r="K1" s="291"/>
      <c r="L1" s="292" t="s">
        <v>228</v>
      </c>
      <c r="M1" s="292"/>
      <c r="N1" s="292"/>
      <c r="O1" s="292"/>
      <c r="P1" s="292"/>
      <c r="Q1" s="292"/>
      <c r="R1" s="292"/>
      <c r="S1" s="292"/>
      <c r="T1" s="292"/>
      <c r="U1" s="292"/>
      <c r="W1" s="187" t="e">
        <f>#REF!</f>
        <v>#REF!</v>
      </c>
      <c r="X1" s="187">
        <f>'資金繰り予定表データ入力（製造原価あり）'!B1</f>
        <v>44927</v>
      </c>
    </row>
    <row r="2" spans="1:29" x14ac:dyDescent="0.45">
      <c r="A2" s="208" t="s">
        <v>109</v>
      </c>
      <c r="B2" s="208" t="s">
        <v>223</v>
      </c>
      <c r="C2" s="291" t="s">
        <v>221</v>
      </c>
      <c r="D2" s="291"/>
      <c r="E2" s="291"/>
      <c r="F2" s="208" t="s">
        <v>224</v>
      </c>
      <c r="G2" s="208" t="s">
        <v>225</v>
      </c>
      <c r="H2" s="212" t="s">
        <v>260</v>
      </c>
      <c r="I2" s="211" t="s">
        <v>222</v>
      </c>
      <c r="J2" s="190" t="s">
        <v>231</v>
      </c>
      <c r="K2" s="208" t="s">
        <v>226</v>
      </c>
      <c r="L2" s="209" t="s">
        <v>109</v>
      </c>
      <c r="M2" s="209" t="s">
        <v>223</v>
      </c>
      <c r="N2" s="292" t="s">
        <v>221</v>
      </c>
      <c r="O2" s="292"/>
      <c r="P2" s="292"/>
      <c r="Q2" s="209" t="s">
        <v>224</v>
      </c>
      <c r="R2" s="209" t="s">
        <v>225</v>
      </c>
      <c r="S2" s="213" t="s">
        <v>260</v>
      </c>
      <c r="T2" s="214" t="s">
        <v>222</v>
      </c>
      <c r="U2" s="209" t="s">
        <v>226</v>
      </c>
      <c r="W2" s="182" t="s">
        <v>234</v>
      </c>
      <c r="X2" s="182" t="s">
        <v>232</v>
      </c>
      <c r="Y2" s="182" t="s">
        <v>233</v>
      </c>
      <c r="Z2" s="182" t="s">
        <v>46</v>
      </c>
      <c r="AA2" s="182" t="s">
        <v>235</v>
      </c>
      <c r="AB2" s="182" t="s">
        <v>236</v>
      </c>
      <c r="AC2" s="182" t="s">
        <v>237</v>
      </c>
    </row>
    <row r="3" spans="1:29" x14ac:dyDescent="0.45">
      <c r="A3" s="243" t="s">
        <v>274</v>
      </c>
      <c r="B3" s="244" t="s">
        <v>240</v>
      </c>
      <c r="C3" s="293" t="s">
        <v>229</v>
      </c>
      <c r="D3" s="293"/>
      <c r="E3" s="293"/>
      <c r="F3" s="244" t="s">
        <v>275</v>
      </c>
      <c r="G3" s="243">
        <v>44661</v>
      </c>
      <c r="H3" s="245" t="s">
        <v>238</v>
      </c>
      <c r="I3" s="246">
        <v>2000000</v>
      </c>
      <c r="J3" s="247">
        <v>44607</v>
      </c>
      <c r="K3" s="244" t="s">
        <v>275</v>
      </c>
      <c r="L3" s="243" t="s">
        <v>274</v>
      </c>
      <c r="M3" s="244">
        <v>700568</v>
      </c>
      <c r="N3" s="293" t="s">
        <v>229</v>
      </c>
      <c r="O3" s="293"/>
      <c r="P3" s="293"/>
      <c r="Q3" s="244" t="s">
        <v>275</v>
      </c>
      <c r="R3" s="243">
        <v>44793</v>
      </c>
      <c r="S3" s="245"/>
      <c r="T3" s="246">
        <v>1000000</v>
      </c>
      <c r="U3" s="244"/>
      <c r="V3" s="180" t="s">
        <v>230</v>
      </c>
      <c r="W3" s="188">
        <f>DATE(YEAR($W$5),MONTH($W$5)-1,1)-1</f>
        <v>44895</v>
      </c>
      <c r="X3" s="188">
        <f t="shared" ref="X3:X4" si="0">DATE(YEAR(W3),MONTH(W3),1)</f>
        <v>44866</v>
      </c>
      <c r="Y3" s="188">
        <f>W3</f>
        <v>44895</v>
      </c>
      <c r="Z3" s="189">
        <f t="shared" ref="Z3:Z10" si="1">SUMIFS(I:I,A:A,"&gt;="&amp;X3,A:A,"&lt;="&amp;Y3)/1000</f>
        <v>0</v>
      </c>
      <c r="AA3" s="189">
        <f t="shared" ref="AA3:AA10" si="2">SUMIFS(T:T,L:L,"&gt;="&amp;X3,L:L,"&lt;="&amp;Y3)/1000</f>
        <v>0</v>
      </c>
      <c r="AB3" s="189">
        <f t="shared" ref="AB3:AB10" si="3">(SUMIFS(I:I,G:G,"&gt;="&amp;X3,G:G,"&lt;="&amp;Y3)+SUMIFS(I:I,J:J,"&gt;="&amp;X3,J:J,"&lt;="&amp;Y3)-SUMIFS(I:I,G:G,"&gt;="&amp;X3,G:G,"&lt;="&amp;Y3,J:J,"&lt;="&amp;Y3))/1000</f>
        <v>0</v>
      </c>
      <c r="AC3" s="189">
        <f t="shared" ref="AC3:AC10" si="4">SUMIFS(T:T,R:R,"&gt;="&amp;X3,R:R,"&lt;="&amp;Y3)/1000</f>
        <v>0</v>
      </c>
    </row>
    <row r="4" spans="1:29" x14ac:dyDescent="0.45">
      <c r="A4" s="181"/>
      <c r="B4" s="182"/>
      <c r="C4" s="290"/>
      <c r="D4" s="290"/>
      <c r="E4" s="290"/>
      <c r="F4" s="182"/>
      <c r="G4" s="181"/>
      <c r="H4" s="185"/>
      <c r="I4" s="183"/>
      <c r="J4" s="186"/>
      <c r="K4" s="182"/>
      <c r="L4" s="181"/>
      <c r="M4" s="182"/>
      <c r="N4" s="290"/>
      <c r="O4" s="290"/>
      <c r="P4" s="290"/>
      <c r="Q4" s="182"/>
      <c r="R4" s="181"/>
      <c r="S4" s="185"/>
      <c r="T4" s="183"/>
      <c r="U4" s="182"/>
      <c r="W4" s="188">
        <f>DATE(YEAR($W$5),MONTH($W$5),1)-1</f>
        <v>44926</v>
      </c>
      <c r="X4" s="188">
        <f t="shared" si="0"/>
        <v>44896</v>
      </c>
      <c r="Y4" s="188">
        <f>W4</f>
        <v>44926</v>
      </c>
      <c r="Z4" s="189">
        <f t="shared" si="1"/>
        <v>0</v>
      </c>
      <c r="AA4" s="189">
        <f t="shared" si="2"/>
        <v>0</v>
      </c>
      <c r="AB4" s="189">
        <f t="shared" si="3"/>
        <v>0</v>
      </c>
      <c r="AC4" s="189">
        <f t="shared" si="4"/>
        <v>0</v>
      </c>
    </row>
    <row r="5" spans="1:29" x14ac:dyDescent="0.45">
      <c r="A5" s="181"/>
      <c r="B5" s="182"/>
      <c r="C5" s="290"/>
      <c r="D5" s="290"/>
      <c r="E5" s="290"/>
      <c r="F5" s="182"/>
      <c r="G5" s="181"/>
      <c r="H5" s="185"/>
      <c r="I5" s="183"/>
      <c r="J5" s="186"/>
      <c r="K5" s="182"/>
      <c r="L5" s="181"/>
      <c r="M5" s="182"/>
      <c r="N5" s="290"/>
      <c r="O5" s="290"/>
      <c r="P5" s="290"/>
      <c r="Q5" s="182"/>
      <c r="R5" s="181"/>
      <c r="S5" s="185"/>
      <c r="T5" s="183"/>
      <c r="U5" s="182"/>
      <c r="W5" s="188">
        <f>IFERROR(W1,X1)</f>
        <v>44927</v>
      </c>
      <c r="X5" s="188">
        <f>DATE(YEAR(W5),MONTH(W5),1)</f>
        <v>44927</v>
      </c>
      <c r="Y5" s="188">
        <f>DATE(YEAR($W$5),MONTH($W$5)+1,1)-1</f>
        <v>44957</v>
      </c>
      <c r="Z5" s="189">
        <f t="shared" si="1"/>
        <v>0</v>
      </c>
      <c r="AA5" s="189">
        <f t="shared" si="2"/>
        <v>0</v>
      </c>
      <c r="AB5" s="189">
        <f t="shared" si="3"/>
        <v>0</v>
      </c>
      <c r="AC5" s="189">
        <f t="shared" si="4"/>
        <v>0</v>
      </c>
    </row>
    <row r="6" spans="1:29" x14ac:dyDescent="0.45">
      <c r="A6" s="181"/>
      <c r="B6" s="182"/>
      <c r="C6" s="290"/>
      <c r="D6" s="290"/>
      <c r="E6" s="290"/>
      <c r="F6" s="182"/>
      <c r="G6" s="181"/>
      <c r="H6" s="185"/>
      <c r="I6" s="183"/>
      <c r="J6" s="186"/>
      <c r="K6" s="182"/>
      <c r="L6" s="182"/>
      <c r="M6" s="182"/>
      <c r="N6" s="290"/>
      <c r="O6" s="290"/>
      <c r="P6" s="290"/>
      <c r="Q6" s="182"/>
      <c r="R6" s="182"/>
      <c r="S6" s="185"/>
      <c r="T6" s="183"/>
      <c r="U6" s="182"/>
      <c r="W6" s="188">
        <f>DATE(YEAR($W$5),MONTH($W$5)+1,1)</f>
        <v>44958</v>
      </c>
      <c r="X6" s="188">
        <f>DATE(YEAR(W6),MONTH(W6),1)</f>
        <v>44958</v>
      </c>
      <c r="Y6" s="188">
        <f>DATE(YEAR(W6),MONTH(W6)+1,1)-1</f>
        <v>44985</v>
      </c>
      <c r="Z6" s="189">
        <f t="shared" si="1"/>
        <v>0</v>
      </c>
      <c r="AA6" s="189">
        <f t="shared" si="2"/>
        <v>0</v>
      </c>
      <c r="AB6" s="189">
        <f t="shared" si="3"/>
        <v>0</v>
      </c>
      <c r="AC6" s="189">
        <f t="shared" si="4"/>
        <v>0</v>
      </c>
    </row>
    <row r="7" spans="1:29" x14ac:dyDescent="0.45">
      <c r="A7" s="181"/>
      <c r="B7" s="182"/>
      <c r="C7" s="290"/>
      <c r="D7" s="290"/>
      <c r="E7" s="290"/>
      <c r="F7" s="182"/>
      <c r="G7" s="181"/>
      <c r="H7" s="185"/>
      <c r="I7" s="183"/>
      <c r="J7" s="186"/>
      <c r="K7" s="182"/>
      <c r="L7" s="182"/>
      <c r="M7" s="182"/>
      <c r="N7" s="290"/>
      <c r="O7" s="290"/>
      <c r="P7" s="290"/>
      <c r="Q7" s="182"/>
      <c r="R7" s="182"/>
      <c r="S7" s="185"/>
      <c r="T7" s="183"/>
      <c r="U7" s="182"/>
      <c r="W7" s="188">
        <f>DATE(YEAR($W$5),MONTH($W$5)+2,1)</f>
        <v>44986</v>
      </c>
      <c r="X7" s="188">
        <f t="shared" ref="X7:X10" si="5">DATE(YEAR(W7),MONTH(W7),1)</f>
        <v>44986</v>
      </c>
      <c r="Y7" s="188">
        <f t="shared" ref="Y7:Y10" si="6">DATE(YEAR(W7),MONTH(W7)+1,1)-1</f>
        <v>45016</v>
      </c>
      <c r="Z7" s="189">
        <f t="shared" si="1"/>
        <v>0</v>
      </c>
      <c r="AA7" s="189">
        <f t="shared" si="2"/>
        <v>0</v>
      </c>
      <c r="AB7" s="189">
        <f t="shared" si="3"/>
        <v>0</v>
      </c>
      <c r="AC7" s="189">
        <f t="shared" si="4"/>
        <v>0</v>
      </c>
    </row>
    <row r="8" spans="1:29" x14ac:dyDescent="0.45">
      <c r="A8" s="182"/>
      <c r="B8" s="182"/>
      <c r="C8" s="290"/>
      <c r="D8" s="290"/>
      <c r="E8" s="290"/>
      <c r="F8" s="182"/>
      <c r="G8" s="182"/>
      <c r="H8" s="185"/>
      <c r="I8" s="183"/>
      <c r="J8" s="186"/>
      <c r="K8" s="182"/>
      <c r="L8" s="182"/>
      <c r="M8" s="182"/>
      <c r="N8" s="290"/>
      <c r="O8" s="290"/>
      <c r="P8" s="290"/>
      <c r="Q8" s="182"/>
      <c r="R8" s="182"/>
      <c r="S8" s="185"/>
      <c r="T8" s="183"/>
      <c r="U8" s="182"/>
      <c r="W8" s="188">
        <f>DATE(YEAR($W$5),MONTH($W$5)+3,1)</f>
        <v>45017</v>
      </c>
      <c r="X8" s="188">
        <f t="shared" si="5"/>
        <v>45017</v>
      </c>
      <c r="Y8" s="188">
        <f t="shared" si="6"/>
        <v>45046</v>
      </c>
      <c r="Z8" s="189">
        <f t="shared" si="1"/>
        <v>0</v>
      </c>
      <c r="AA8" s="189">
        <f t="shared" si="2"/>
        <v>0</v>
      </c>
      <c r="AB8" s="189">
        <f t="shared" si="3"/>
        <v>0</v>
      </c>
      <c r="AC8" s="189">
        <f t="shared" si="4"/>
        <v>0</v>
      </c>
    </row>
    <row r="9" spans="1:29" x14ac:dyDescent="0.45">
      <c r="A9" s="182"/>
      <c r="B9" s="182"/>
      <c r="C9" s="290"/>
      <c r="D9" s="290"/>
      <c r="E9" s="290"/>
      <c r="F9" s="182"/>
      <c r="G9" s="182"/>
      <c r="H9" s="185"/>
      <c r="I9" s="183"/>
      <c r="J9" s="186"/>
      <c r="K9" s="182"/>
      <c r="L9" s="182"/>
      <c r="M9" s="182"/>
      <c r="N9" s="290"/>
      <c r="O9" s="290"/>
      <c r="P9" s="290"/>
      <c r="Q9" s="182"/>
      <c r="R9" s="182"/>
      <c r="S9" s="185"/>
      <c r="T9" s="183"/>
      <c r="U9" s="182"/>
      <c r="W9" s="188">
        <f>DATE(YEAR($W$5),MONTH($W$5)+4,1)</f>
        <v>45047</v>
      </c>
      <c r="X9" s="188">
        <f t="shared" si="5"/>
        <v>45047</v>
      </c>
      <c r="Y9" s="188">
        <f t="shared" si="6"/>
        <v>45077</v>
      </c>
      <c r="Z9" s="189">
        <f t="shared" si="1"/>
        <v>0</v>
      </c>
      <c r="AA9" s="189">
        <f t="shared" si="2"/>
        <v>0</v>
      </c>
      <c r="AB9" s="189">
        <f t="shared" si="3"/>
        <v>0</v>
      </c>
      <c r="AC9" s="189">
        <f t="shared" si="4"/>
        <v>0</v>
      </c>
    </row>
    <row r="10" spans="1:29" x14ac:dyDescent="0.45">
      <c r="A10" s="182"/>
      <c r="B10" s="182"/>
      <c r="C10" s="290"/>
      <c r="D10" s="290"/>
      <c r="E10" s="290"/>
      <c r="F10" s="182"/>
      <c r="G10" s="182"/>
      <c r="H10" s="185"/>
      <c r="I10" s="183"/>
      <c r="J10" s="186"/>
      <c r="K10" s="182"/>
      <c r="L10" s="182"/>
      <c r="M10" s="182"/>
      <c r="N10" s="290"/>
      <c r="O10" s="290"/>
      <c r="P10" s="290"/>
      <c r="Q10" s="182"/>
      <c r="R10" s="182"/>
      <c r="S10" s="185"/>
      <c r="T10" s="183"/>
      <c r="U10" s="182"/>
      <c r="W10" s="188">
        <f>DATE(YEAR($W$5),MONTH($W$5)+5,1)</f>
        <v>45078</v>
      </c>
      <c r="X10" s="188">
        <f t="shared" si="5"/>
        <v>45078</v>
      </c>
      <c r="Y10" s="188">
        <f t="shared" si="6"/>
        <v>45107</v>
      </c>
      <c r="Z10" s="189">
        <f t="shared" si="1"/>
        <v>0</v>
      </c>
      <c r="AA10" s="189">
        <f t="shared" si="2"/>
        <v>0</v>
      </c>
      <c r="AB10" s="189">
        <f t="shared" si="3"/>
        <v>0</v>
      </c>
      <c r="AC10" s="189">
        <f t="shared" si="4"/>
        <v>0</v>
      </c>
    </row>
    <row r="11" spans="1:29" x14ac:dyDescent="0.45">
      <c r="A11" s="182"/>
      <c r="B11" s="182"/>
      <c r="C11" s="290"/>
      <c r="D11" s="290"/>
      <c r="E11" s="290"/>
      <c r="F11" s="182"/>
      <c r="G11" s="182"/>
      <c r="H11" s="185"/>
      <c r="I11" s="183"/>
      <c r="J11" s="186"/>
      <c r="K11" s="182"/>
      <c r="L11" s="182"/>
      <c r="M11" s="182"/>
      <c r="N11" s="290"/>
      <c r="O11" s="290"/>
      <c r="P11" s="290"/>
      <c r="Q11" s="182"/>
      <c r="R11" s="182"/>
      <c r="S11" s="185"/>
      <c r="T11" s="183"/>
      <c r="U11" s="182"/>
      <c r="W11" s="294" t="s">
        <v>241</v>
      </c>
      <c r="X11" s="294"/>
      <c r="Y11" s="294"/>
      <c r="Z11" s="204">
        <f>SUM(Z3:Z10)</f>
        <v>0</v>
      </c>
      <c r="AA11" s="204">
        <f t="shared" ref="AA11:AC11" si="7">SUM(AA3:AA10)</f>
        <v>0</v>
      </c>
      <c r="AB11" s="204">
        <f t="shared" si="7"/>
        <v>0</v>
      </c>
      <c r="AC11" s="204">
        <f t="shared" si="7"/>
        <v>0</v>
      </c>
    </row>
    <row r="12" spans="1:29" x14ac:dyDescent="0.45">
      <c r="A12" s="182"/>
      <c r="B12" s="182"/>
      <c r="C12" s="290"/>
      <c r="D12" s="290"/>
      <c r="E12" s="290"/>
      <c r="F12" s="182"/>
      <c r="G12" s="182"/>
      <c r="H12" s="185"/>
      <c r="I12" s="183"/>
      <c r="J12" s="186"/>
      <c r="K12" s="182"/>
      <c r="L12" s="182"/>
      <c r="M12" s="182"/>
      <c r="N12" s="290"/>
      <c r="O12" s="290"/>
      <c r="P12" s="290"/>
      <c r="Q12" s="182"/>
      <c r="R12" s="182"/>
      <c r="S12" s="185"/>
      <c r="T12" s="183"/>
      <c r="U12" s="182"/>
      <c r="W12" s="187"/>
      <c r="X12" s="187"/>
      <c r="Y12" s="187"/>
    </row>
    <row r="13" spans="1:29" x14ac:dyDescent="0.45">
      <c r="A13" s="182"/>
      <c r="B13" s="182"/>
      <c r="C13" s="290"/>
      <c r="D13" s="290"/>
      <c r="E13" s="290"/>
      <c r="F13" s="182"/>
      <c r="G13" s="182"/>
      <c r="H13" s="185"/>
      <c r="I13" s="183"/>
      <c r="J13" s="186"/>
      <c r="K13" s="182"/>
      <c r="L13" s="182"/>
      <c r="M13" s="182"/>
      <c r="N13" s="290"/>
      <c r="O13" s="290"/>
      <c r="P13" s="290"/>
      <c r="Q13" s="182"/>
      <c r="R13" s="182"/>
      <c r="S13" s="185"/>
      <c r="T13" s="183"/>
      <c r="U13" s="182"/>
    </row>
    <row r="14" spans="1:29" x14ac:dyDescent="0.45">
      <c r="A14" s="182"/>
      <c r="B14" s="182"/>
      <c r="C14" s="290"/>
      <c r="D14" s="290"/>
      <c r="E14" s="290"/>
      <c r="F14" s="182"/>
      <c r="G14" s="182"/>
      <c r="H14" s="185"/>
      <c r="I14" s="183"/>
      <c r="J14" s="186"/>
      <c r="K14" s="182"/>
      <c r="L14" s="182"/>
      <c r="M14" s="182"/>
      <c r="N14" s="290"/>
      <c r="O14" s="290"/>
      <c r="P14" s="290"/>
      <c r="Q14" s="182"/>
      <c r="R14" s="182"/>
      <c r="S14" s="185"/>
      <c r="T14" s="183"/>
      <c r="U14" s="182"/>
    </row>
    <row r="15" spans="1:29" x14ac:dyDescent="0.45">
      <c r="A15" s="182"/>
      <c r="B15" s="182"/>
      <c r="C15" s="290"/>
      <c r="D15" s="290"/>
      <c r="E15" s="290"/>
      <c r="F15" s="182"/>
      <c r="G15" s="182"/>
      <c r="H15" s="185"/>
      <c r="I15" s="183"/>
      <c r="J15" s="186"/>
      <c r="K15" s="182"/>
      <c r="L15" s="182"/>
      <c r="M15" s="182"/>
      <c r="N15" s="290"/>
      <c r="O15" s="290"/>
      <c r="P15" s="290"/>
      <c r="Q15" s="182"/>
      <c r="R15" s="182"/>
      <c r="S15" s="185"/>
      <c r="T15" s="183"/>
      <c r="U15" s="182"/>
    </row>
    <row r="16" spans="1:29" x14ac:dyDescent="0.45">
      <c r="A16" s="182"/>
      <c r="B16" s="182"/>
      <c r="C16" s="290"/>
      <c r="D16" s="290"/>
      <c r="E16" s="290"/>
      <c r="F16" s="182"/>
      <c r="G16" s="182"/>
      <c r="H16" s="185"/>
      <c r="I16" s="183"/>
      <c r="J16" s="186"/>
      <c r="K16" s="182"/>
      <c r="L16" s="182"/>
      <c r="M16" s="182"/>
      <c r="N16" s="290"/>
      <c r="O16" s="290"/>
      <c r="P16" s="290"/>
      <c r="Q16" s="182"/>
      <c r="R16" s="182"/>
      <c r="S16" s="185"/>
      <c r="T16" s="183"/>
      <c r="U16" s="182"/>
    </row>
    <row r="17" spans="1:21" x14ac:dyDescent="0.45">
      <c r="A17" s="182"/>
      <c r="B17" s="182"/>
      <c r="C17" s="290"/>
      <c r="D17" s="290"/>
      <c r="E17" s="290"/>
      <c r="F17" s="182"/>
      <c r="G17" s="182"/>
      <c r="H17" s="185"/>
      <c r="I17" s="183"/>
      <c r="J17" s="186"/>
      <c r="K17" s="182"/>
      <c r="L17" s="182"/>
      <c r="M17" s="182"/>
      <c r="N17" s="290"/>
      <c r="O17" s="290"/>
      <c r="P17" s="290"/>
      <c r="Q17" s="182"/>
      <c r="R17" s="182"/>
      <c r="S17" s="185"/>
      <c r="T17" s="183"/>
      <c r="U17" s="182"/>
    </row>
    <row r="18" spans="1:21" x14ac:dyDescent="0.45">
      <c r="A18" s="182"/>
      <c r="B18" s="182"/>
      <c r="C18" s="290"/>
      <c r="D18" s="290"/>
      <c r="E18" s="290"/>
      <c r="F18" s="182"/>
      <c r="G18" s="182"/>
      <c r="H18" s="185"/>
      <c r="I18" s="183"/>
      <c r="J18" s="186"/>
      <c r="K18" s="182"/>
      <c r="L18" s="182"/>
      <c r="M18" s="182"/>
      <c r="N18" s="290"/>
      <c r="O18" s="290"/>
      <c r="P18" s="290"/>
      <c r="Q18" s="182"/>
      <c r="R18" s="182"/>
      <c r="S18" s="185"/>
      <c r="T18" s="183"/>
      <c r="U18" s="182"/>
    </row>
    <row r="19" spans="1:21" x14ac:dyDescent="0.45">
      <c r="A19" s="182"/>
      <c r="B19" s="182"/>
      <c r="C19" s="290"/>
      <c r="D19" s="290"/>
      <c r="E19" s="290"/>
      <c r="F19" s="182"/>
      <c r="G19" s="182"/>
      <c r="H19" s="185"/>
      <c r="I19" s="183"/>
      <c r="J19" s="186"/>
      <c r="K19" s="182"/>
      <c r="L19" s="182"/>
      <c r="M19" s="182"/>
      <c r="N19" s="290"/>
      <c r="O19" s="290"/>
      <c r="P19" s="290"/>
      <c r="Q19" s="182"/>
      <c r="R19" s="182"/>
      <c r="S19" s="185"/>
      <c r="T19" s="183"/>
      <c r="U19" s="182"/>
    </row>
    <row r="20" spans="1:21" x14ac:dyDescent="0.45">
      <c r="A20" s="182"/>
      <c r="B20" s="182"/>
      <c r="C20" s="290"/>
      <c r="D20" s="290"/>
      <c r="E20" s="290"/>
      <c r="F20" s="182"/>
      <c r="G20" s="182"/>
      <c r="H20" s="185"/>
      <c r="I20" s="183"/>
      <c r="J20" s="186"/>
      <c r="K20" s="182"/>
      <c r="L20" s="182"/>
      <c r="M20" s="182"/>
      <c r="N20" s="290"/>
      <c r="O20" s="290"/>
      <c r="P20" s="290"/>
      <c r="Q20" s="182"/>
      <c r="R20" s="182"/>
      <c r="S20" s="185"/>
      <c r="T20" s="183"/>
      <c r="U20" s="182"/>
    </row>
    <row r="21" spans="1:21" x14ac:dyDescent="0.45">
      <c r="A21" s="182"/>
      <c r="B21" s="182"/>
      <c r="C21" s="290"/>
      <c r="D21" s="290"/>
      <c r="E21" s="290"/>
      <c r="F21" s="182"/>
      <c r="G21" s="182"/>
      <c r="H21" s="185"/>
      <c r="I21" s="183"/>
      <c r="J21" s="186"/>
      <c r="K21" s="182"/>
      <c r="L21" s="182"/>
      <c r="M21" s="182"/>
      <c r="N21" s="290"/>
      <c r="O21" s="290"/>
      <c r="P21" s="290"/>
      <c r="Q21" s="182"/>
      <c r="R21" s="182"/>
      <c r="S21" s="185"/>
      <c r="T21" s="183"/>
      <c r="U21" s="182"/>
    </row>
    <row r="22" spans="1:21" x14ac:dyDescent="0.45">
      <c r="A22" s="182"/>
      <c r="B22" s="182"/>
      <c r="C22" s="290"/>
      <c r="D22" s="290"/>
      <c r="E22" s="290"/>
      <c r="F22" s="182"/>
      <c r="G22" s="182"/>
      <c r="H22" s="185"/>
      <c r="I22" s="183"/>
      <c r="J22" s="186"/>
      <c r="K22" s="182"/>
      <c r="L22" s="182"/>
      <c r="M22" s="182"/>
      <c r="N22" s="290"/>
      <c r="O22" s="290"/>
      <c r="P22" s="290"/>
      <c r="Q22" s="182"/>
      <c r="R22" s="182"/>
      <c r="S22" s="185"/>
      <c r="T22" s="183"/>
      <c r="U22" s="182"/>
    </row>
    <row r="23" spans="1:21" x14ac:dyDescent="0.45">
      <c r="A23" s="182"/>
      <c r="B23" s="182"/>
      <c r="C23" s="290"/>
      <c r="D23" s="290"/>
      <c r="E23" s="290"/>
      <c r="F23" s="182"/>
      <c r="G23" s="182"/>
      <c r="H23" s="185"/>
      <c r="I23" s="183"/>
      <c r="J23" s="186"/>
      <c r="K23" s="182"/>
      <c r="L23" s="182"/>
      <c r="M23" s="182"/>
      <c r="N23" s="290"/>
      <c r="O23" s="290"/>
      <c r="P23" s="290"/>
      <c r="Q23" s="182"/>
      <c r="R23" s="182"/>
      <c r="S23" s="185"/>
      <c r="T23" s="183"/>
      <c r="U23" s="182"/>
    </row>
    <row r="24" spans="1:21" x14ac:dyDescent="0.45">
      <c r="A24" s="182"/>
      <c r="B24" s="182"/>
      <c r="C24" s="290"/>
      <c r="D24" s="290"/>
      <c r="E24" s="290"/>
      <c r="F24" s="182"/>
      <c r="G24" s="182"/>
      <c r="H24" s="185"/>
      <c r="I24" s="183"/>
      <c r="J24" s="186"/>
      <c r="K24" s="182"/>
      <c r="L24" s="182"/>
      <c r="M24" s="182"/>
      <c r="N24" s="290"/>
      <c r="O24" s="290"/>
      <c r="P24" s="290"/>
      <c r="Q24" s="182"/>
      <c r="R24" s="182"/>
      <c r="S24" s="185"/>
      <c r="T24" s="183"/>
      <c r="U24" s="182"/>
    </row>
    <row r="25" spans="1:21" x14ac:dyDescent="0.45">
      <c r="A25" s="182"/>
      <c r="B25" s="182"/>
      <c r="C25" s="290"/>
      <c r="D25" s="290"/>
      <c r="E25" s="290"/>
      <c r="F25" s="182"/>
      <c r="G25" s="182"/>
      <c r="H25" s="185"/>
      <c r="I25" s="183"/>
      <c r="J25" s="186"/>
      <c r="K25" s="182"/>
      <c r="L25" s="182"/>
      <c r="M25" s="182"/>
      <c r="N25" s="290"/>
      <c r="O25" s="290"/>
      <c r="P25" s="290"/>
      <c r="Q25" s="182"/>
      <c r="R25" s="182"/>
      <c r="S25" s="185"/>
      <c r="T25" s="183"/>
      <c r="U25" s="182"/>
    </row>
    <row r="26" spans="1:21" x14ac:dyDescent="0.45">
      <c r="A26" s="182"/>
      <c r="B26" s="182"/>
      <c r="C26" s="290"/>
      <c r="D26" s="290"/>
      <c r="E26" s="290"/>
      <c r="F26" s="182"/>
      <c r="G26" s="182"/>
      <c r="H26" s="185"/>
      <c r="I26" s="183"/>
      <c r="J26" s="186"/>
      <c r="K26" s="182"/>
      <c r="L26" s="182"/>
      <c r="M26" s="182"/>
      <c r="N26" s="290"/>
      <c r="O26" s="290"/>
      <c r="P26" s="290"/>
      <c r="Q26" s="182"/>
      <c r="R26" s="182"/>
      <c r="S26" s="185"/>
      <c r="T26" s="183"/>
      <c r="U26" s="182"/>
    </row>
  </sheetData>
  <mergeCells count="53">
    <mergeCell ref="A1:K1"/>
    <mergeCell ref="L1:U1"/>
    <mergeCell ref="N2:P2"/>
    <mergeCell ref="N3:P3"/>
    <mergeCell ref="W11:Y11"/>
    <mergeCell ref="C7:E7"/>
    <mergeCell ref="C2:E2"/>
    <mergeCell ref="C3:E3"/>
    <mergeCell ref="C4:E4"/>
    <mergeCell ref="N4:P4"/>
    <mergeCell ref="N5:P5"/>
    <mergeCell ref="N6:P6"/>
    <mergeCell ref="C11:E11"/>
    <mergeCell ref="C5:E5"/>
    <mergeCell ref="C6:E6"/>
    <mergeCell ref="N10:P10"/>
    <mergeCell ref="C17:E17"/>
    <mergeCell ref="C18:E18"/>
    <mergeCell ref="C14:E14"/>
    <mergeCell ref="C15:E15"/>
    <mergeCell ref="C16:E16"/>
    <mergeCell ref="C12:E12"/>
    <mergeCell ref="C13:E13"/>
    <mergeCell ref="C8:E8"/>
    <mergeCell ref="C9:E9"/>
    <mergeCell ref="C10:E10"/>
    <mergeCell ref="N12:P12"/>
    <mergeCell ref="N7:P7"/>
    <mergeCell ref="N8:P8"/>
    <mergeCell ref="N9:P9"/>
    <mergeCell ref="N16:P16"/>
    <mergeCell ref="N11:P11"/>
    <mergeCell ref="N17:P17"/>
    <mergeCell ref="N18:P18"/>
    <mergeCell ref="N13:P13"/>
    <mergeCell ref="N14:P14"/>
    <mergeCell ref="N15:P15"/>
    <mergeCell ref="C19:E19"/>
    <mergeCell ref="N19:P19"/>
    <mergeCell ref="C20:E20"/>
    <mergeCell ref="N20:P20"/>
    <mergeCell ref="C21:E21"/>
    <mergeCell ref="N21:P21"/>
    <mergeCell ref="C25:E25"/>
    <mergeCell ref="N25:P25"/>
    <mergeCell ref="C26:E26"/>
    <mergeCell ref="N26:P26"/>
    <mergeCell ref="C22:E22"/>
    <mergeCell ref="N22:P22"/>
    <mergeCell ref="C23:E23"/>
    <mergeCell ref="N23:P23"/>
    <mergeCell ref="C24:E24"/>
    <mergeCell ref="N24:P24"/>
  </mergeCells>
  <phoneticPr fontId="3"/>
  <dataValidations count="2">
    <dataValidation type="list" allowBlank="1" showInputMessage="1" showErrorMessage="1" sqref="S7:S26" xr:uid="{0856B6CB-824E-44CD-91A4-7CA386D31082}">
      <formula1>$V$3:$V$4</formula1>
    </dataValidation>
    <dataValidation type="list" allowBlank="1" showInputMessage="1" showErrorMessage="1" sqref="S3:S6 H3:H26" xr:uid="{B058BDFB-F178-4B59-A8DF-C3A27F7591DE}">
      <formula1>$V$2:$V$3</formula1>
    </dataValidation>
  </dataValidations>
  <pageMargins left="0.23622047244094491" right="0.23622047244094491" top="0.74803149606299213" bottom="0.74803149606299213" header="0.31496062992125984" footer="0.31496062992125984"/>
  <pageSetup paperSize="9" fitToHeight="0"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78849-F978-4917-942A-EFCF879D381B}">
  <sheetPr codeName="Sheet13">
    <pageSetUpPr fitToPage="1"/>
  </sheetPr>
  <dimension ref="B1:S36"/>
  <sheetViews>
    <sheetView view="pageBreakPreview" topLeftCell="A13" zoomScaleNormal="100" zoomScaleSheetLayoutView="100" workbookViewId="0">
      <selection activeCell="C6" sqref="C6"/>
    </sheetView>
  </sheetViews>
  <sheetFormatPr defaultRowHeight="18" x14ac:dyDescent="0.45"/>
  <cols>
    <col min="1" max="1" width="5.19921875" customWidth="1"/>
    <col min="2" max="2" width="17.59765625" style="49" customWidth="1"/>
    <col min="3" max="4" width="11.09765625" style="49" customWidth="1"/>
    <col min="5" max="5" width="11.09765625" customWidth="1"/>
    <col min="6" max="9" width="9.3984375" bestFit="1" customWidth="1"/>
    <col min="11" max="11" width="6.8984375" customWidth="1"/>
    <col min="12" max="12" width="17.59765625" style="49" customWidth="1"/>
    <col min="13" max="13" width="9.3984375" bestFit="1" customWidth="1"/>
    <col min="14" max="14" width="10" bestFit="1" customWidth="1"/>
    <col min="15" max="18" width="9.3984375" bestFit="1" customWidth="1"/>
  </cols>
  <sheetData>
    <row r="1" spans="2:19" ht="29.4" thickBot="1" x14ac:dyDescent="0.5">
      <c r="E1" s="250" t="s">
        <v>96</v>
      </c>
      <c r="F1" s="250"/>
      <c r="G1" s="250"/>
      <c r="H1" s="250"/>
      <c r="I1" s="250"/>
      <c r="J1" s="250"/>
      <c r="K1" s="250"/>
      <c r="L1" s="250"/>
      <c r="M1" s="250"/>
      <c r="N1" s="250"/>
      <c r="O1" s="250"/>
      <c r="P1" s="250"/>
      <c r="Q1" s="50" t="s">
        <v>72</v>
      </c>
      <c r="R1" s="51">
        <v>0.6</v>
      </c>
    </row>
    <row r="2" spans="2:19" s="53" customFormat="1" x14ac:dyDescent="0.45">
      <c r="B2" s="52"/>
      <c r="C2" s="52"/>
      <c r="D2" s="52"/>
      <c r="Q2" s="52"/>
      <c r="R2" s="54"/>
    </row>
    <row r="3" spans="2:19" x14ac:dyDescent="0.45">
      <c r="B3"/>
      <c r="C3"/>
      <c r="D3"/>
      <c r="E3" s="55"/>
      <c r="F3" s="55"/>
      <c r="G3" s="56"/>
      <c r="H3" s="55"/>
      <c r="I3" s="55"/>
      <c r="J3" s="55"/>
      <c r="K3" s="55"/>
      <c r="L3" s="55"/>
      <c r="M3" s="55"/>
      <c r="N3" s="55"/>
      <c r="O3" s="56"/>
      <c r="S3" s="49"/>
    </row>
    <row r="4" spans="2:19" s="59" customFormat="1" ht="22.5" customHeight="1" x14ac:dyDescent="0.45">
      <c r="B4" s="251" t="s">
        <v>73</v>
      </c>
      <c r="C4" s="251"/>
      <c r="D4" s="251"/>
      <c r="E4" s="252"/>
      <c r="F4" s="252"/>
      <c r="G4" s="252"/>
      <c r="H4" s="57"/>
      <c r="I4" s="58"/>
      <c r="J4" s="58"/>
      <c r="K4" s="58"/>
      <c r="L4" s="253" t="s">
        <v>74</v>
      </c>
      <c r="M4" s="253"/>
      <c r="N4" s="253"/>
      <c r="O4" s="253"/>
    </row>
    <row r="5" spans="2:19" s="59" customFormat="1" ht="22.5" customHeight="1" x14ac:dyDescent="0.45">
      <c r="B5" s="60"/>
      <c r="C5" s="61">
        <f ca="1">D5-30</f>
        <v>44986.432305208335</v>
      </c>
      <c r="D5" s="61">
        <f ca="1">E5-30</f>
        <v>45016.432305208335</v>
      </c>
      <c r="E5" s="61">
        <f ca="1">NOW()+30</f>
        <v>45046.432305208335</v>
      </c>
      <c r="F5" s="61">
        <f ca="1">E5+30</f>
        <v>45076.432305208335</v>
      </c>
      <c r="G5" s="61">
        <f t="shared" ref="G5:J5" ca="1" si="0">F5+30</f>
        <v>45106.432305208335</v>
      </c>
      <c r="H5" s="61">
        <f t="shared" ca="1" si="0"/>
        <v>45136.432305208335</v>
      </c>
      <c r="I5" s="61">
        <f t="shared" ca="1" si="0"/>
        <v>45166.432305208335</v>
      </c>
      <c r="J5" s="84">
        <f t="shared" ca="1" si="0"/>
        <v>45196.432305208335</v>
      </c>
      <c r="L5" s="62"/>
      <c r="M5" s="61">
        <f t="shared" ref="M5:P5" ca="1" si="1">E5</f>
        <v>45046.432305208335</v>
      </c>
      <c r="N5" s="61">
        <f t="shared" ca="1" si="1"/>
        <v>45076.432305208335</v>
      </c>
      <c r="O5" s="61">
        <f t="shared" ca="1" si="1"/>
        <v>45106.432305208335</v>
      </c>
      <c r="P5" s="61">
        <f t="shared" ca="1" si="1"/>
        <v>45136.432305208335</v>
      </c>
      <c r="Q5" s="61">
        <f ca="1">I5</f>
        <v>45166.432305208335</v>
      </c>
      <c r="R5" s="84">
        <f ca="1">J5</f>
        <v>45196.432305208335</v>
      </c>
    </row>
    <row r="6" spans="2:19" s="59" customFormat="1" ht="22.5" customHeight="1" x14ac:dyDescent="0.45">
      <c r="B6" s="63" t="s">
        <v>75</v>
      </c>
      <c r="C6" s="64" t="e">
        <f>#REF!</f>
        <v>#REF!</v>
      </c>
      <c r="D6" s="64" t="e">
        <f t="shared" ref="D6:J6" si="2">C28</f>
        <v>#REF!</v>
      </c>
      <c r="E6" s="64" t="e">
        <f t="shared" si="2"/>
        <v>#REF!</v>
      </c>
      <c r="F6" s="64" t="e">
        <f t="shared" si="2"/>
        <v>#REF!</v>
      </c>
      <c r="G6" s="64" t="e">
        <f t="shared" si="2"/>
        <v>#REF!</v>
      </c>
      <c r="H6" s="64" t="e">
        <f t="shared" si="2"/>
        <v>#REF!</v>
      </c>
      <c r="I6" s="64" t="e">
        <f t="shared" si="2"/>
        <v>#REF!</v>
      </c>
      <c r="J6" s="64" t="e">
        <f t="shared" si="2"/>
        <v>#REF!</v>
      </c>
      <c r="K6" s="58"/>
      <c r="L6" s="65" t="str">
        <f>B6</f>
        <v>月初現金残高</v>
      </c>
      <c r="M6" s="64" t="e">
        <f>E6</f>
        <v>#REF!</v>
      </c>
      <c r="N6" s="64" t="e">
        <f>M28</f>
        <v>#REF!</v>
      </c>
      <c r="O6" s="64" t="e">
        <f>N28</f>
        <v>#REF!</v>
      </c>
      <c r="P6" s="66" t="e">
        <f>O28</f>
        <v>#REF!</v>
      </c>
      <c r="Q6" s="66" t="e">
        <f>P28</f>
        <v>#REF!</v>
      </c>
      <c r="R6" s="66" t="e">
        <f>Q28</f>
        <v>#REF!</v>
      </c>
    </row>
    <row r="7" spans="2:19" s="59" customFormat="1" ht="22.5" customHeight="1" x14ac:dyDescent="0.45">
      <c r="B7" s="67"/>
      <c r="C7" s="67"/>
      <c r="D7" s="67"/>
      <c r="E7" s="58"/>
      <c r="F7" s="58"/>
      <c r="G7" s="58"/>
      <c r="H7" s="57"/>
      <c r="I7" s="58"/>
      <c r="J7" s="58"/>
      <c r="K7" s="58"/>
      <c r="L7" s="68"/>
      <c r="M7" s="58"/>
      <c r="N7" s="58"/>
      <c r="O7" s="58"/>
    </row>
    <row r="8" spans="2:19" s="59" customFormat="1" ht="22.5" customHeight="1" x14ac:dyDescent="0.45">
      <c r="B8" s="62"/>
      <c r="C8" s="61">
        <f ca="1">D8-30</f>
        <v>44986.432305208335</v>
      </c>
      <c r="D8" s="61">
        <f ca="1">E8-30</f>
        <v>45016.432305208335</v>
      </c>
      <c r="E8" s="61">
        <f ca="1">NOW()+30</f>
        <v>45046.432305208335</v>
      </c>
      <c r="F8" s="61">
        <f ca="1">E8+30</f>
        <v>45076.432305208335</v>
      </c>
      <c r="G8" s="61">
        <f t="shared" ref="G8:J8" ca="1" si="3">F8+30</f>
        <v>45106.432305208335</v>
      </c>
      <c r="H8" s="61">
        <f t="shared" ca="1" si="3"/>
        <v>45136.432305208335</v>
      </c>
      <c r="I8" s="61">
        <f t="shared" ca="1" si="3"/>
        <v>45166.432305208335</v>
      </c>
      <c r="J8" s="84">
        <f t="shared" ca="1" si="3"/>
        <v>45196.432305208335</v>
      </c>
      <c r="L8" s="62"/>
      <c r="M8" s="61">
        <f t="shared" ref="M8:P8" ca="1" si="4">E8</f>
        <v>45046.432305208335</v>
      </c>
      <c r="N8" s="61">
        <f t="shared" ca="1" si="4"/>
        <v>45076.432305208335</v>
      </c>
      <c r="O8" s="61">
        <f t="shared" ca="1" si="4"/>
        <v>45106.432305208335</v>
      </c>
      <c r="P8" s="61">
        <f t="shared" ca="1" si="4"/>
        <v>45136.432305208335</v>
      </c>
      <c r="Q8" s="61">
        <f ca="1">I8</f>
        <v>45166.432305208335</v>
      </c>
      <c r="R8" s="84">
        <f ca="1">J8</f>
        <v>45196.432305208335</v>
      </c>
    </row>
    <row r="9" spans="2:19" s="59" customFormat="1" ht="22.5" customHeight="1" x14ac:dyDescent="0.45">
      <c r="B9" s="63" t="s">
        <v>46</v>
      </c>
      <c r="C9" s="103" t="e">
        <f>#REF!</f>
        <v>#REF!</v>
      </c>
      <c r="D9" s="103" t="e">
        <f>#REF!</f>
        <v>#REF!</v>
      </c>
      <c r="E9" s="69" t="e">
        <f>#REF!</f>
        <v>#REF!</v>
      </c>
      <c r="F9" s="69" t="e">
        <f>#REF!</f>
        <v>#REF!</v>
      </c>
      <c r="G9" s="69" t="e">
        <f>#REF!</f>
        <v>#REF!</v>
      </c>
      <c r="H9" s="69" t="e">
        <f>#REF!</f>
        <v>#REF!</v>
      </c>
      <c r="I9" s="69" t="e">
        <f>#REF!</f>
        <v>#REF!</v>
      </c>
      <c r="J9" s="69" t="e">
        <f>#REF!</f>
        <v>#REF!</v>
      </c>
      <c r="L9" s="63" t="str">
        <f>B9</f>
        <v>売上</v>
      </c>
      <c r="M9" s="69" t="e">
        <f t="shared" ref="M9:R9" si="5">E9*$R$1</f>
        <v>#REF!</v>
      </c>
      <c r="N9" s="69" t="e">
        <f>F9*$R$1</f>
        <v>#REF!</v>
      </c>
      <c r="O9" s="69" t="e">
        <f t="shared" si="5"/>
        <v>#REF!</v>
      </c>
      <c r="P9" s="69" t="e">
        <f t="shared" si="5"/>
        <v>#REF!</v>
      </c>
      <c r="Q9" s="69" t="e">
        <f t="shared" si="5"/>
        <v>#REF!</v>
      </c>
      <c r="R9" s="69" t="e">
        <f t="shared" si="5"/>
        <v>#REF!</v>
      </c>
    </row>
    <row r="10" spans="2:19" s="59" customFormat="1" ht="22.5" customHeight="1" x14ac:dyDescent="0.45">
      <c r="B10" s="63" t="s">
        <v>150</v>
      </c>
      <c r="C10" s="103"/>
      <c r="D10" s="103"/>
      <c r="E10" s="69"/>
      <c r="F10" s="69"/>
      <c r="G10" s="69"/>
      <c r="H10" s="69"/>
      <c r="I10" s="69"/>
      <c r="J10" s="69"/>
      <c r="L10" s="63" t="str">
        <f>B10</f>
        <v>その他収入</v>
      </c>
      <c r="M10" s="69">
        <f>C10</f>
        <v>0</v>
      </c>
      <c r="N10" s="69">
        <f t="shared" ref="N10:R10" si="6">D10</f>
        <v>0</v>
      </c>
      <c r="O10" s="69">
        <f t="shared" si="6"/>
        <v>0</v>
      </c>
      <c r="P10" s="69">
        <f t="shared" si="6"/>
        <v>0</v>
      </c>
      <c r="Q10" s="69">
        <f t="shared" si="6"/>
        <v>0</v>
      </c>
      <c r="R10" s="69">
        <f t="shared" si="6"/>
        <v>0</v>
      </c>
    </row>
    <row r="11" spans="2:19" s="59" customFormat="1" ht="22.5" customHeight="1" x14ac:dyDescent="0.45">
      <c r="B11" s="70" t="s">
        <v>151</v>
      </c>
      <c r="C11" s="104" t="e">
        <f>C10+#REF!</f>
        <v>#REF!</v>
      </c>
      <c r="D11" s="104" t="e">
        <f>D10+#REF!</f>
        <v>#REF!</v>
      </c>
      <c r="E11" s="71" t="e">
        <f>E10+#REF!+E9*#REF!</f>
        <v>#REF!</v>
      </c>
      <c r="F11" s="71" t="e">
        <f>F10+#REF!+E9*#REF!+F9*#REF!</f>
        <v>#REF!</v>
      </c>
      <c r="G11" s="71" t="e">
        <f>G10+#REF!+E9*#REF!+F9*#REF!+G9*#REF!</f>
        <v>#REF!</v>
      </c>
      <c r="H11" s="71" t="e">
        <f>H10+#REF!+E9*#REF!+F9*#REF!+G9*#REF!+H9*#REF!</f>
        <v>#REF!</v>
      </c>
      <c r="I11" s="71" t="e">
        <f>I10+#REF!+E9*#REF!+F9*#REF!+G9*#REF!+H9*#REF!+I9*#REF!</f>
        <v>#REF!</v>
      </c>
      <c r="J11" s="71" t="e">
        <f>J10+#REF!+E9*#REF!+F9*#REF!+G9*#REF!+H9*#REF!+I9*#REF!+J9*#REF!</f>
        <v>#REF!</v>
      </c>
      <c r="L11" s="70" t="str">
        <f>B11</f>
        <v>経常収入</v>
      </c>
      <c r="M11" s="71" t="e">
        <f>M10+#REF!+$R$1*(E9*#REF!)</f>
        <v>#REF!</v>
      </c>
      <c r="N11" s="71" t="e">
        <f>N10+#REF!+$R$1*(E9*#REF!+F9*#REF!)</f>
        <v>#REF!</v>
      </c>
      <c r="O11" s="71" t="e">
        <f>O10+#REF!+$R$1*(E9*#REF!+F9*#REF!+G9*#REF!)</f>
        <v>#REF!</v>
      </c>
      <c r="P11" s="71" t="e">
        <f>P10+#REF!+$R$1*(E9*#REF!+F9*#REF!+G9*#REF!+H9*#REF!)</f>
        <v>#REF!</v>
      </c>
      <c r="Q11" s="71" t="e">
        <f>Q10+#REF!+$R$1*(E9*#REF!+F9*#REF!+G9*#REF!+H9*#REF!+I9*#REF!)</f>
        <v>#REF!</v>
      </c>
      <c r="R11" s="71" t="e">
        <f>R10+#REF!+$R$1*(E9*#REF!+F9*#REF!+G9*#REF!+H9*#REF!+I9*#REF!+J9*#REF!)</f>
        <v>#REF!</v>
      </c>
    </row>
    <row r="12" spans="2:19" s="59" customFormat="1" ht="22.5" customHeight="1" x14ac:dyDescent="0.45">
      <c r="B12" s="67"/>
      <c r="C12" s="67"/>
      <c r="D12" s="67"/>
      <c r="E12" s="72"/>
      <c r="F12" s="72"/>
      <c r="G12" s="72"/>
      <c r="H12" s="72"/>
      <c r="I12" s="72"/>
      <c r="J12" s="72"/>
      <c r="L12" s="67"/>
    </row>
    <row r="13" spans="2:19" s="59" customFormat="1" ht="22.5" customHeight="1" x14ac:dyDescent="0.45">
      <c r="B13" s="62"/>
      <c r="C13" s="61">
        <f ca="1">D13-30</f>
        <v>44986.432305208335</v>
      </c>
      <c r="D13" s="61">
        <f ca="1">E13-30</f>
        <v>45016.432305208335</v>
      </c>
      <c r="E13" s="61">
        <f t="shared" ref="E13:J13" ca="1" si="7">E8</f>
        <v>45046.432305208335</v>
      </c>
      <c r="F13" s="61">
        <f t="shared" ca="1" si="7"/>
        <v>45076.432305208335</v>
      </c>
      <c r="G13" s="61">
        <f t="shared" ca="1" si="7"/>
        <v>45106.432305208335</v>
      </c>
      <c r="H13" s="61">
        <f t="shared" ca="1" si="7"/>
        <v>45136.432305208335</v>
      </c>
      <c r="I13" s="61">
        <f t="shared" ca="1" si="7"/>
        <v>45166.432305208335</v>
      </c>
      <c r="J13" s="84">
        <f t="shared" ca="1" si="7"/>
        <v>45196.432305208335</v>
      </c>
      <c r="L13" s="62"/>
      <c r="M13" s="61">
        <f t="shared" ref="M13:P13" ca="1" si="8">E13</f>
        <v>45046.432305208335</v>
      </c>
      <c r="N13" s="61">
        <f t="shared" ca="1" si="8"/>
        <v>45076.432305208335</v>
      </c>
      <c r="O13" s="61">
        <f t="shared" ca="1" si="8"/>
        <v>45106.432305208335</v>
      </c>
      <c r="P13" s="61">
        <f t="shared" ca="1" si="8"/>
        <v>45136.432305208335</v>
      </c>
      <c r="Q13" s="61">
        <f ca="1">I13</f>
        <v>45166.432305208335</v>
      </c>
      <c r="R13" s="84">
        <f ca="1">J13</f>
        <v>45196.432305208335</v>
      </c>
    </row>
    <row r="14" spans="2:19" s="59" customFormat="1" ht="22.5" customHeight="1" x14ac:dyDescent="0.45">
      <c r="B14" s="63" t="s">
        <v>54</v>
      </c>
      <c r="C14" s="103" t="e">
        <f>#REF!</f>
        <v>#REF!</v>
      </c>
      <c r="D14" s="103" t="e">
        <f>#REF!</f>
        <v>#REF!</v>
      </c>
      <c r="E14" s="69" t="e">
        <f>#REF!</f>
        <v>#REF!</v>
      </c>
      <c r="F14" s="69" t="e">
        <f>#REF!</f>
        <v>#REF!</v>
      </c>
      <c r="G14" s="69" t="e">
        <f>#REF!</f>
        <v>#REF!</v>
      </c>
      <c r="H14" s="69" t="e">
        <f>#REF!</f>
        <v>#REF!</v>
      </c>
      <c r="I14" s="69" t="e">
        <f>#REF!</f>
        <v>#REF!</v>
      </c>
      <c r="J14" s="69" t="e">
        <f>#REF!</f>
        <v>#REF!</v>
      </c>
      <c r="L14" s="63" t="str">
        <f>B14</f>
        <v>仕入</v>
      </c>
      <c r="M14" s="73" t="e">
        <f t="shared" ref="M14:R14" si="9">E14*$R$1</f>
        <v>#REF!</v>
      </c>
      <c r="N14" s="73" t="e">
        <f t="shared" si="9"/>
        <v>#REF!</v>
      </c>
      <c r="O14" s="73" t="e">
        <f t="shared" si="9"/>
        <v>#REF!</v>
      </c>
      <c r="P14" s="73" t="e">
        <f t="shared" si="9"/>
        <v>#REF!</v>
      </c>
      <c r="Q14" s="73" t="e">
        <f t="shared" si="9"/>
        <v>#REF!</v>
      </c>
      <c r="R14" s="73" t="e">
        <f t="shared" si="9"/>
        <v>#REF!</v>
      </c>
    </row>
    <row r="15" spans="2:19" s="59" customFormat="1" ht="22.5" customHeight="1" x14ac:dyDescent="0.45">
      <c r="B15" s="70" t="s">
        <v>77</v>
      </c>
      <c r="C15" s="104" t="e">
        <f>#REF!</f>
        <v>#REF!</v>
      </c>
      <c r="D15" s="104" t="e">
        <f>#REF!</f>
        <v>#REF!</v>
      </c>
      <c r="E15" s="71" t="e">
        <f>#REF!+E14*#REF!</f>
        <v>#REF!</v>
      </c>
      <c r="F15" s="71" t="e">
        <f>#REF!+E14*#REF!+F14*#REF!</f>
        <v>#REF!</v>
      </c>
      <c r="G15" s="71" t="e">
        <f>#REF!+E14*#REF!+F14*#REF!+G14*#REF!</f>
        <v>#REF!</v>
      </c>
      <c r="H15" s="71" t="e">
        <f>#REF!+E14*#REF!+F14*#REF!+G14*#REF!+H14*#REF!</f>
        <v>#REF!</v>
      </c>
      <c r="I15" s="71" t="e">
        <f>#REF!+E14*#REF!+F14*#REF!+G14*#REF!+H14*#REF!+I14*#REF!</f>
        <v>#REF!</v>
      </c>
      <c r="J15" s="71" t="e">
        <f>#REF!+E14*#REF!+F14*#REF!+G14*#REF!+H14*#REF!+I14*#REF!+J14*#REF!</f>
        <v>#REF!</v>
      </c>
      <c r="L15" s="70" t="str">
        <f>B15</f>
        <v>仕入支払</v>
      </c>
      <c r="M15" s="74" t="e">
        <f>#REF!+$R$1*(E14*#REF!)</f>
        <v>#REF!</v>
      </c>
      <c r="N15" s="74" t="e">
        <f>#REF!+$R$1*(E14*#REF!+F14*#REF!)</f>
        <v>#REF!</v>
      </c>
      <c r="O15" s="74" t="e">
        <f>#REF!+$R$1*(E14*#REF!+F14*#REF!+G14*#REF!)</f>
        <v>#REF!</v>
      </c>
      <c r="P15" s="74" t="e">
        <f>#REF!+$R$1*(E14*#REF!+F14*#REF!+G14*#REF!+H14*#REF!)</f>
        <v>#REF!</v>
      </c>
      <c r="Q15" s="74" t="e">
        <f>#REF!+$R$1*(E14*#REF!+F14*#REF!+G14*#REF!+H14*#REF!+I14*#REF!)</f>
        <v>#REF!</v>
      </c>
      <c r="R15" s="74" t="e">
        <f>#REF!+$R$1*(E14*#REF!+F14*#REF!+G14*#REF!+H14*#REF!+I14*#REF!+J14*#REF!)</f>
        <v>#REF!</v>
      </c>
    </row>
    <row r="16" spans="2:19" s="59" customFormat="1" ht="22.5" customHeight="1" x14ac:dyDescent="0.45">
      <c r="B16" s="67"/>
      <c r="C16" s="105"/>
      <c r="D16" s="105"/>
      <c r="E16" s="72"/>
      <c r="F16" s="72"/>
      <c r="G16" s="72"/>
      <c r="H16" s="72"/>
      <c r="I16" s="72"/>
      <c r="J16" s="72"/>
      <c r="L16" s="67"/>
      <c r="M16" s="75"/>
      <c r="N16" s="75"/>
      <c r="O16" s="75"/>
      <c r="P16" s="75"/>
      <c r="Q16" s="75"/>
      <c r="R16" s="75"/>
    </row>
    <row r="17" spans="2:18" s="59" customFormat="1" ht="22.5" customHeight="1" x14ac:dyDescent="0.45">
      <c r="B17" s="63" t="s">
        <v>78</v>
      </c>
      <c r="C17" s="103" t="e">
        <f>#REF!</f>
        <v>#REF!</v>
      </c>
      <c r="D17" s="103" t="e">
        <f>#REF!</f>
        <v>#REF!</v>
      </c>
      <c r="E17" s="69" t="e">
        <f>#REF!</f>
        <v>#REF!</v>
      </c>
      <c r="F17" s="69" t="e">
        <f>E17</f>
        <v>#REF!</v>
      </c>
      <c r="G17" s="69" t="e">
        <f>F17</f>
        <v>#REF!</v>
      </c>
      <c r="H17" s="69" t="e">
        <f t="shared" ref="H17:J17" si="10">G17</f>
        <v>#REF!</v>
      </c>
      <c r="I17" s="69" t="e">
        <f t="shared" si="10"/>
        <v>#REF!</v>
      </c>
      <c r="J17" s="69" t="e">
        <f t="shared" si="10"/>
        <v>#REF!</v>
      </c>
      <c r="L17" s="63" t="str">
        <f t="shared" ref="L17:L28" si="11">B17</f>
        <v>人件費</v>
      </c>
      <c r="M17" s="73" t="e">
        <f>E17</f>
        <v>#REF!</v>
      </c>
      <c r="N17" s="73" t="e">
        <f>F17</f>
        <v>#REF!</v>
      </c>
      <c r="O17" s="73" t="e">
        <f t="shared" ref="O17:R20" si="12">G17</f>
        <v>#REF!</v>
      </c>
      <c r="P17" s="73" t="e">
        <f t="shared" si="12"/>
        <v>#REF!</v>
      </c>
      <c r="Q17" s="73" t="e">
        <f t="shared" si="12"/>
        <v>#REF!</v>
      </c>
      <c r="R17" s="73" t="e">
        <f t="shared" si="12"/>
        <v>#REF!</v>
      </c>
    </row>
    <row r="18" spans="2:18" s="59" customFormat="1" ht="22.5" customHeight="1" x14ac:dyDescent="0.45">
      <c r="B18" s="63" t="s">
        <v>79</v>
      </c>
      <c r="C18" s="103" t="e">
        <f>#REF!</f>
        <v>#REF!</v>
      </c>
      <c r="D18" s="103" t="e">
        <f>#REF!</f>
        <v>#REF!</v>
      </c>
      <c r="E18" s="69" t="e">
        <f>#REF!</f>
        <v>#REF!</v>
      </c>
      <c r="F18" s="69" t="e">
        <f t="shared" ref="F18:J20" si="13">E18</f>
        <v>#REF!</v>
      </c>
      <c r="G18" s="69" t="e">
        <f t="shared" si="13"/>
        <v>#REF!</v>
      </c>
      <c r="H18" s="69" t="e">
        <f t="shared" si="13"/>
        <v>#REF!</v>
      </c>
      <c r="I18" s="69" t="e">
        <f t="shared" si="13"/>
        <v>#REF!</v>
      </c>
      <c r="J18" s="69" t="e">
        <f t="shared" si="13"/>
        <v>#REF!</v>
      </c>
      <c r="L18" s="63" t="str">
        <f t="shared" si="11"/>
        <v>営業経費</v>
      </c>
      <c r="M18" s="73" t="e">
        <f>E18</f>
        <v>#REF!</v>
      </c>
      <c r="N18" s="73" t="e">
        <f t="shared" ref="N18:N20" si="14">F18</f>
        <v>#REF!</v>
      </c>
      <c r="O18" s="73" t="e">
        <f t="shared" si="12"/>
        <v>#REF!</v>
      </c>
      <c r="P18" s="73" t="e">
        <f t="shared" si="12"/>
        <v>#REF!</v>
      </c>
      <c r="Q18" s="73" t="e">
        <f t="shared" si="12"/>
        <v>#REF!</v>
      </c>
      <c r="R18" s="73" t="e">
        <f t="shared" si="12"/>
        <v>#REF!</v>
      </c>
    </row>
    <row r="19" spans="2:18" s="59" customFormat="1" ht="22.5" customHeight="1" x14ac:dyDescent="0.45">
      <c r="B19" s="63" t="s">
        <v>81</v>
      </c>
      <c r="C19" s="103" t="e">
        <f>#REF!</f>
        <v>#REF!</v>
      </c>
      <c r="D19" s="103" t="e">
        <f>#REF!</f>
        <v>#REF!</v>
      </c>
      <c r="E19" s="69" t="e">
        <f>#REF!</f>
        <v>#REF!</v>
      </c>
      <c r="F19" s="69" t="e">
        <f t="shared" si="13"/>
        <v>#REF!</v>
      </c>
      <c r="G19" s="69" t="e">
        <f t="shared" si="13"/>
        <v>#REF!</v>
      </c>
      <c r="H19" s="69" t="e">
        <f t="shared" si="13"/>
        <v>#REF!</v>
      </c>
      <c r="I19" s="69" t="e">
        <f t="shared" si="13"/>
        <v>#REF!</v>
      </c>
      <c r="J19" s="69" t="e">
        <f t="shared" si="13"/>
        <v>#REF!</v>
      </c>
      <c r="L19" s="63" t="str">
        <f t="shared" si="11"/>
        <v>税金・社会保険料</v>
      </c>
      <c r="M19" s="73" t="e">
        <f t="shared" ref="M19:M20" si="15">E19</f>
        <v>#REF!</v>
      </c>
      <c r="N19" s="73" t="e">
        <f t="shared" si="14"/>
        <v>#REF!</v>
      </c>
      <c r="O19" s="73" t="e">
        <f t="shared" si="12"/>
        <v>#REF!</v>
      </c>
      <c r="P19" s="73" t="e">
        <f t="shared" si="12"/>
        <v>#REF!</v>
      </c>
      <c r="Q19" s="73" t="e">
        <f t="shared" si="12"/>
        <v>#REF!</v>
      </c>
      <c r="R19" s="73" t="e">
        <f t="shared" si="12"/>
        <v>#REF!</v>
      </c>
    </row>
    <row r="20" spans="2:18" s="59" customFormat="1" ht="22.5" customHeight="1" x14ac:dyDescent="0.45">
      <c r="B20" s="63" t="s">
        <v>152</v>
      </c>
      <c r="C20" s="103" t="e">
        <f>#REF!</f>
        <v>#REF!</v>
      </c>
      <c r="D20" s="103" t="e">
        <f>#REF!</f>
        <v>#REF!</v>
      </c>
      <c r="E20" s="69" t="e">
        <f>#REF!</f>
        <v>#REF!</v>
      </c>
      <c r="F20" s="69" t="e">
        <f t="shared" si="13"/>
        <v>#REF!</v>
      </c>
      <c r="G20" s="69" t="e">
        <f t="shared" si="13"/>
        <v>#REF!</v>
      </c>
      <c r="H20" s="69" t="e">
        <f t="shared" si="13"/>
        <v>#REF!</v>
      </c>
      <c r="I20" s="69" t="e">
        <f t="shared" si="13"/>
        <v>#REF!</v>
      </c>
      <c r="J20" s="69" t="e">
        <f t="shared" si="13"/>
        <v>#REF!</v>
      </c>
      <c r="L20" s="63" t="str">
        <f t="shared" si="11"/>
        <v>リース・利息・その他</v>
      </c>
      <c r="M20" s="73" t="e">
        <f t="shared" si="15"/>
        <v>#REF!</v>
      </c>
      <c r="N20" s="73" t="e">
        <f t="shared" si="14"/>
        <v>#REF!</v>
      </c>
      <c r="O20" s="73" t="e">
        <f t="shared" si="12"/>
        <v>#REF!</v>
      </c>
      <c r="P20" s="73" t="e">
        <f t="shared" si="12"/>
        <v>#REF!</v>
      </c>
      <c r="Q20" s="73" t="e">
        <f t="shared" si="12"/>
        <v>#REF!</v>
      </c>
      <c r="R20" s="73" t="e">
        <f t="shared" si="12"/>
        <v>#REF!</v>
      </c>
    </row>
    <row r="21" spans="2:18" s="59" customFormat="1" ht="22.5" customHeight="1" x14ac:dyDescent="0.45">
      <c r="B21" s="70" t="s">
        <v>125</v>
      </c>
      <c r="C21" s="71" t="e">
        <f t="shared" ref="C21:J21" si="16">C15+SUM(C17:C20)</f>
        <v>#REF!</v>
      </c>
      <c r="D21" s="71" t="e">
        <f t="shared" si="16"/>
        <v>#REF!</v>
      </c>
      <c r="E21" s="71" t="e">
        <f t="shared" si="16"/>
        <v>#REF!</v>
      </c>
      <c r="F21" s="71" t="e">
        <f t="shared" si="16"/>
        <v>#REF!</v>
      </c>
      <c r="G21" s="71" t="e">
        <f t="shared" si="16"/>
        <v>#REF!</v>
      </c>
      <c r="H21" s="71" t="e">
        <f t="shared" si="16"/>
        <v>#REF!</v>
      </c>
      <c r="I21" s="71" t="e">
        <f t="shared" si="16"/>
        <v>#REF!</v>
      </c>
      <c r="J21" s="71" t="e">
        <f t="shared" si="16"/>
        <v>#REF!</v>
      </c>
      <c r="L21" s="70" t="str">
        <f t="shared" si="11"/>
        <v>経常支出</v>
      </c>
      <c r="M21" s="74" t="e">
        <f t="shared" ref="M21:R21" si="17">M15+SUM(M17:M20)</f>
        <v>#REF!</v>
      </c>
      <c r="N21" s="74" t="e">
        <f t="shared" si="17"/>
        <v>#REF!</v>
      </c>
      <c r="O21" s="74" t="e">
        <f t="shared" si="17"/>
        <v>#REF!</v>
      </c>
      <c r="P21" s="74" t="e">
        <f t="shared" si="17"/>
        <v>#REF!</v>
      </c>
      <c r="Q21" s="74" t="e">
        <f t="shared" si="17"/>
        <v>#REF!</v>
      </c>
      <c r="R21" s="74" t="e">
        <f t="shared" si="17"/>
        <v>#REF!</v>
      </c>
    </row>
    <row r="22" spans="2:18" s="59" customFormat="1" ht="22.5" customHeight="1" x14ac:dyDescent="0.45">
      <c r="B22" s="70" t="s">
        <v>124</v>
      </c>
      <c r="C22" s="106" t="e">
        <f t="shared" ref="C22:J22" si="18">C11-C21</f>
        <v>#REF!</v>
      </c>
      <c r="D22" s="106" t="e">
        <f t="shared" si="18"/>
        <v>#REF!</v>
      </c>
      <c r="E22" s="76" t="e">
        <f t="shared" si="18"/>
        <v>#REF!</v>
      </c>
      <c r="F22" s="76" t="e">
        <f t="shared" si="18"/>
        <v>#REF!</v>
      </c>
      <c r="G22" s="76" t="e">
        <f t="shared" si="18"/>
        <v>#REF!</v>
      </c>
      <c r="H22" s="76" t="e">
        <f t="shared" si="18"/>
        <v>#REF!</v>
      </c>
      <c r="I22" s="76" t="e">
        <f t="shared" si="18"/>
        <v>#REF!</v>
      </c>
      <c r="J22" s="76" t="e">
        <f t="shared" si="18"/>
        <v>#REF!</v>
      </c>
      <c r="L22" s="70" t="str">
        <f t="shared" si="11"/>
        <v>経常収支</v>
      </c>
      <c r="M22" s="76" t="e">
        <f t="shared" ref="M22:R22" si="19">M11-M21</f>
        <v>#REF!</v>
      </c>
      <c r="N22" s="76" t="e">
        <f t="shared" si="19"/>
        <v>#REF!</v>
      </c>
      <c r="O22" s="76" t="e">
        <f t="shared" si="19"/>
        <v>#REF!</v>
      </c>
      <c r="P22" s="76" t="e">
        <f t="shared" si="19"/>
        <v>#REF!</v>
      </c>
      <c r="Q22" s="76" t="e">
        <f t="shared" si="19"/>
        <v>#REF!</v>
      </c>
      <c r="R22" s="76" t="e">
        <f t="shared" si="19"/>
        <v>#REF!</v>
      </c>
    </row>
    <row r="23" spans="2:18" s="59" customFormat="1" ht="22.5" customHeight="1" x14ac:dyDescent="0.45">
      <c r="B23" s="63" t="s">
        <v>95</v>
      </c>
      <c r="C23" s="103"/>
      <c r="D23" s="103"/>
      <c r="E23" s="69"/>
      <c r="F23" s="69"/>
      <c r="G23" s="69"/>
      <c r="H23" s="69"/>
      <c r="I23" s="69"/>
      <c r="J23" s="69"/>
      <c r="L23" s="63" t="str">
        <f t="shared" si="11"/>
        <v>借入金調達</v>
      </c>
      <c r="M23" s="73">
        <f>E23</f>
        <v>0</v>
      </c>
      <c r="N23" s="73">
        <f t="shared" ref="N23:R24" si="20">F23</f>
        <v>0</v>
      </c>
      <c r="O23" s="73">
        <f t="shared" si="20"/>
        <v>0</v>
      </c>
      <c r="P23" s="73">
        <f t="shared" si="20"/>
        <v>0</v>
      </c>
      <c r="Q23" s="73">
        <f t="shared" si="20"/>
        <v>0</v>
      </c>
      <c r="R23" s="73">
        <f t="shared" si="20"/>
        <v>0</v>
      </c>
    </row>
    <row r="24" spans="2:18" s="59" customFormat="1" ht="22.5" customHeight="1" x14ac:dyDescent="0.45">
      <c r="B24" s="63" t="s">
        <v>80</v>
      </c>
      <c r="C24" s="103" t="e">
        <f>#REF!</f>
        <v>#REF!</v>
      </c>
      <c r="D24" s="103" t="e">
        <f>C24</f>
        <v>#REF!</v>
      </c>
      <c r="E24" s="111" t="e">
        <f>D24</f>
        <v>#REF!</v>
      </c>
      <c r="F24" s="102" t="e">
        <f t="shared" ref="F24:I24" si="21">E24</f>
        <v>#REF!</v>
      </c>
      <c r="G24" s="102" t="e">
        <f t="shared" si="21"/>
        <v>#REF!</v>
      </c>
      <c r="H24" s="102" t="e">
        <f t="shared" si="21"/>
        <v>#REF!</v>
      </c>
      <c r="I24" s="102" t="e">
        <f t="shared" si="21"/>
        <v>#REF!</v>
      </c>
      <c r="J24" s="102" t="e">
        <f>I24</f>
        <v>#REF!</v>
      </c>
      <c r="L24" s="63" t="str">
        <f t="shared" si="11"/>
        <v>借入金返済</v>
      </c>
      <c r="M24" s="73" t="e">
        <f>E24</f>
        <v>#REF!</v>
      </c>
      <c r="N24" s="73" t="e">
        <f t="shared" si="20"/>
        <v>#REF!</v>
      </c>
      <c r="O24" s="73" t="e">
        <f t="shared" si="20"/>
        <v>#REF!</v>
      </c>
      <c r="P24" s="73" t="e">
        <f t="shared" si="20"/>
        <v>#REF!</v>
      </c>
      <c r="Q24" s="73" t="e">
        <f t="shared" si="20"/>
        <v>#REF!</v>
      </c>
      <c r="R24" s="73" t="e">
        <f t="shared" si="20"/>
        <v>#REF!</v>
      </c>
    </row>
    <row r="25" spans="2:18" s="59" customFormat="1" ht="22.5" customHeight="1" x14ac:dyDescent="0.45">
      <c r="B25" s="63" t="s">
        <v>148</v>
      </c>
      <c r="C25" s="103"/>
      <c r="D25" s="103"/>
      <c r="E25" s="69"/>
      <c r="F25" s="69"/>
      <c r="G25" s="69"/>
      <c r="H25" s="69"/>
      <c r="I25" s="69"/>
      <c r="J25" s="69"/>
      <c r="L25" s="63" t="str">
        <f t="shared" si="11"/>
        <v>設備投資</v>
      </c>
      <c r="M25" s="108"/>
      <c r="N25" s="108"/>
      <c r="O25" s="108"/>
      <c r="P25" s="108"/>
      <c r="Q25" s="108"/>
      <c r="R25" s="108"/>
    </row>
    <row r="26" spans="2:18" s="59" customFormat="1" ht="22.5" customHeight="1" x14ac:dyDescent="0.45">
      <c r="B26" s="70" t="s">
        <v>153</v>
      </c>
      <c r="C26" s="107" t="e">
        <f>C23-C24+C25</f>
        <v>#REF!</v>
      </c>
      <c r="D26" s="107" t="e">
        <f t="shared" ref="D26:J26" si="22">D23-D24+D25</f>
        <v>#REF!</v>
      </c>
      <c r="E26" s="107" t="e">
        <f t="shared" si="22"/>
        <v>#REF!</v>
      </c>
      <c r="F26" s="107" t="e">
        <f t="shared" si="22"/>
        <v>#REF!</v>
      </c>
      <c r="G26" s="107" t="e">
        <f t="shared" si="22"/>
        <v>#REF!</v>
      </c>
      <c r="H26" s="107" t="e">
        <f t="shared" si="22"/>
        <v>#REF!</v>
      </c>
      <c r="I26" s="107" t="e">
        <f t="shared" si="22"/>
        <v>#REF!</v>
      </c>
      <c r="J26" s="107" t="e">
        <f t="shared" si="22"/>
        <v>#REF!</v>
      </c>
      <c r="L26" s="70" t="str">
        <f t="shared" si="11"/>
        <v>財務収支他</v>
      </c>
      <c r="M26" s="107" t="e">
        <f>M23-M24+M25</f>
        <v>#REF!</v>
      </c>
      <c r="N26" s="107" t="e">
        <f t="shared" ref="N26:R26" si="23">N23-N24+N25</f>
        <v>#REF!</v>
      </c>
      <c r="O26" s="107" t="e">
        <f t="shared" si="23"/>
        <v>#REF!</v>
      </c>
      <c r="P26" s="107" t="e">
        <f t="shared" si="23"/>
        <v>#REF!</v>
      </c>
      <c r="Q26" s="107" t="e">
        <f t="shared" si="23"/>
        <v>#REF!</v>
      </c>
      <c r="R26" s="107" t="e">
        <f t="shared" si="23"/>
        <v>#REF!</v>
      </c>
    </row>
    <row r="27" spans="2:18" s="59" customFormat="1" ht="22.5" customHeight="1" x14ac:dyDescent="0.45">
      <c r="B27" s="70" t="s">
        <v>84</v>
      </c>
      <c r="C27" s="107" t="e">
        <f t="shared" ref="C27:J27" si="24">C22+C26</f>
        <v>#REF!</v>
      </c>
      <c r="D27" s="107" t="e">
        <f t="shared" si="24"/>
        <v>#REF!</v>
      </c>
      <c r="E27" s="107" t="e">
        <f t="shared" si="24"/>
        <v>#REF!</v>
      </c>
      <c r="F27" s="107" t="e">
        <f t="shared" si="24"/>
        <v>#REF!</v>
      </c>
      <c r="G27" s="107" t="e">
        <f t="shared" si="24"/>
        <v>#REF!</v>
      </c>
      <c r="H27" s="107" t="e">
        <f t="shared" si="24"/>
        <v>#REF!</v>
      </c>
      <c r="I27" s="107" t="e">
        <f t="shared" si="24"/>
        <v>#REF!</v>
      </c>
      <c r="J27" s="107" t="e">
        <f t="shared" si="24"/>
        <v>#REF!</v>
      </c>
      <c r="L27" s="70" t="str">
        <f t="shared" si="11"/>
        <v>当月収支</v>
      </c>
      <c r="M27" s="107" t="e">
        <f t="shared" ref="M27:R27" si="25">M22+M26</f>
        <v>#REF!</v>
      </c>
      <c r="N27" s="107" t="e">
        <f t="shared" si="25"/>
        <v>#REF!</v>
      </c>
      <c r="O27" s="107" t="e">
        <f t="shared" si="25"/>
        <v>#REF!</v>
      </c>
      <c r="P27" s="107" t="e">
        <f t="shared" si="25"/>
        <v>#REF!</v>
      </c>
      <c r="Q27" s="107" t="e">
        <f t="shared" si="25"/>
        <v>#REF!</v>
      </c>
      <c r="R27" s="107" t="e">
        <f t="shared" si="25"/>
        <v>#REF!</v>
      </c>
    </row>
    <row r="28" spans="2:18" s="59" customFormat="1" ht="22.5" customHeight="1" x14ac:dyDescent="0.45">
      <c r="B28" s="77" t="s">
        <v>85</v>
      </c>
      <c r="C28" s="78" t="e">
        <f t="shared" ref="C28:J28" si="26">C6+C27</f>
        <v>#REF!</v>
      </c>
      <c r="D28" s="78" t="e">
        <f t="shared" si="26"/>
        <v>#REF!</v>
      </c>
      <c r="E28" s="78" t="e">
        <f t="shared" si="26"/>
        <v>#REF!</v>
      </c>
      <c r="F28" s="78" t="e">
        <f t="shared" si="26"/>
        <v>#REF!</v>
      </c>
      <c r="G28" s="78" t="e">
        <f t="shared" si="26"/>
        <v>#REF!</v>
      </c>
      <c r="H28" s="78" t="e">
        <f t="shared" si="26"/>
        <v>#REF!</v>
      </c>
      <c r="I28" s="78" t="e">
        <f t="shared" si="26"/>
        <v>#REF!</v>
      </c>
      <c r="J28" s="78" t="e">
        <f t="shared" si="26"/>
        <v>#REF!</v>
      </c>
      <c r="L28" s="77" t="str">
        <f t="shared" si="11"/>
        <v>月末現金残高</v>
      </c>
      <c r="M28" s="78" t="e">
        <f t="shared" ref="M28:R28" si="27">M6+M27</f>
        <v>#REF!</v>
      </c>
      <c r="N28" s="78" t="e">
        <f t="shared" si="27"/>
        <v>#REF!</v>
      </c>
      <c r="O28" s="78" t="e">
        <f t="shared" si="27"/>
        <v>#REF!</v>
      </c>
      <c r="P28" s="78" t="e">
        <f t="shared" si="27"/>
        <v>#REF!</v>
      </c>
      <c r="Q28" s="78" t="e">
        <f t="shared" si="27"/>
        <v>#REF!</v>
      </c>
      <c r="R28" s="78" t="e">
        <f t="shared" si="27"/>
        <v>#REF!</v>
      </c>
    </row>
    <row r="33" spans="2:13" x14ac:dyDescent="0.45">
      <c r="I33" s="254"/>
      <c r="J33" s="254"/>
      <c r="K33" s="46"/>
      <c r="L33" s="46"/>
      <c r="M33" s="46"/>
    </row>
    <row r="34" spans="2:13" x14ac:dyDescent="0.45">
      <c r="B34"/>
      <c r="C34"/>
      <c r="D34"/>
      <c r="E34" s="255"/>
      <c r="F34" s="255"/>
      <c r="G34" s="96"/>
      <c r="H34" s="55"/>
      <c r="I34" s="55"/>
      <c r="J34" s="55"/>
      <c r="K34" s="110"/>
      <c r="L34" s="110"/>
      <c r="M34" s="96"/>
    </row>
    <row r="35" spans="2:13" x14ac:dyDescent="0.45">
      <c r="B35"/>
      <c r="C35"/>
      <c r="D35"/>
      <c r="E35" s="55"/>
      <c r="F35" s="55"/>
      <c r="G35" s="96"/>
      <c r="H35" s="55"/>
      <c r="I35" s="55"/>
      <c r="J35" s="55"/>
      <c r="K35" s="55"/>
      <c r="L35" s="55"/>
      <c r="M35" s="96"/>
    </row>
    <row r="36" spans="2:13" x14ac:dyDescent="0.45">
      <c r="B36"/>
      <c r="C36"/>
      <c r="D36"/>
      <c r="E36" s="55"/>
      <c r="F36" s="55"/>
      <c r="G36" s="96"/>
      <c r="H36" s="55"/>
      <c r="I36" s="249"/>
      <c r="J36" s="249"/>
      <c r="K36" s="55"/>
      <c r="L36" s="55"/>
      <c r="M36" s="96"/>
    </row>
  </sheetData>
  <mergeCells count="6">
    <mergeCell ref="I36:J36"/>
    <mergeCell ref="E1:P1"/>
    <mergeCell ref="B4:G4"/>
    <mergeCell ref="L4:O4"/>
    <mergeCell ref="I33:J33"/>
    <mergeCell ref="E34:F34"/>
  </mergeCells>
  <phoneticPr fontId="3"/>
  <pageMargins left="0.7" right="0.7" top="0.75" bottom="0.75" header="0.3" footer="0.3"/>
  <pageSetup paperSize="9"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DE99-D2F2-4C37-BC1E-B673373139AC}">
  <sheetPr codeName="Sheet14">
    <pageSetUpPr fitToPage="1"/>
  </sheetPr>
  <dimension ref="B3:M21"/>
  <sheetViews>
    <sheetView workbookViewId="0">
      <selection sqref="A1:XFD1"/>
    </sheetView>
  </sheetViews>
  <sheetFormatPr defaultRowHeight="18" x14ac:dyDescent="0.45"/>
  <cols>
    <col min="1" max="1" width="6" customWidth="1"/>
    <col min="2" max="2" width="44.8984375" customWidth="1"/>
    <col min="3" max="3" width="104.59765625" bestFit="1" customWidth="1"/>
    <col min="4" max="4" width="6.3984375" customWidth="1"/>
    <col min="7" max="7" width="7.09765625" customWidth="1"/>
  </cols>
  <sheetData>
    <row r="3" spans="2:13" ht="36" x14ac:dyDescent="0.45">
      <c r="B3" s="44" t="s">
        <v>92</v>
      </c>
      <c r="C3" t="s">
        <v>93</v>
      </c>
      <c r="D3" t="s">
        <v>46</v>
      </c>
      <c r="E3" s="45">
        <v>7500</v>
      </c>
      <c r="F3" s="46" t="s">
        <v>45</v>
      </c>
      <c r="G3" s="46" t="s">
        <v>54</v>
      </c>
      <c r="H3" s="45">
        <v>3200</v>
      </c>
      <c r="I3" t="s">
        <v>45</v>
      </c>
      <c r="J3" t="s">
        <v>48</v>
      </c>
      <c r="K3" s="45">
        <v>0</v>
      </c>
      <c r="L3" t="s">
        <v>50</v>
      </c>
      <c r="M3" s="45">
        <v>2200</v>
      </c>
    </row>
    <row r="4" spans="2:13" x14ac:dyDescent="0.45">
      <c r="C4" t="s">
        <v>55</v>
      </c>
      <c r="D4" t="s">
        <v>46</v>
      </c>
      <c r="E4" s="45">
        <v>8000</v>
      </c>
      <c r="F4" s="46" t="s">
        <v>45</v>
      </c>
      <c r="G4" s="46" t="s">
        <v>54</v>
      </c>
      <c r="H4" s="45">
        <v>3300</v>
      </c>
      <c r="I4" t="s">
        <v>45</v>
      </c>
      <c r="J4" t="s">
        <v>48</v>
      </c>
      <c r="K4" s="45">
        <v>0</v>
      </c>
      <c r="L4" t="s">
        <v>50</v>
      </c>
      <c r="M4" s="45">
        <v>2250</v>
      </c>
    </row>
    <row r="5" spans="2:13" x14ac:dyDescent="0.45">
      <c r="C5" t="s">
        <v>56</v>
      </c>
      <c r="D5" t="s">
        <v>46</v>
      </c>
      <c r="E5" s="45">
        <v>8500</v>
      </c>
      <c r="F5" s="46" t="s">
        <v>45</v>
      </c>
      <c r="G5" s="46" t="s">
        <v>54</v>
      </c>
      <c r="H5" s="45">
        <v>3500</v>
      </c>
      <c r="I5" t="s">
        <v>45</v>
      </c>
      <c r="J5" t="s">
        <v>48</v>
      </c>
      <c r="K5" s="45">
        <v>0</v>
      </c>
      <c r="L5" t="s">
        <v>50</v>
      </c>
      <c r="M5" s="45">
        <v>2300</v>
      </c>
    </row>
    <row r="6" spans="2:13" x14ac:dyDescent="0.45">
      <c r="C6" t="s">
        <v>57</v>
      </c>
      <c r="D6" t="s">
        <v>46</v>
      </c>
      <c r="E6" s="45">
        <v>9000</v>
      </c>
      <c r="F6" s="46" t="s">
        <v>45</v>
      </c>
      <c r="G6" s="46" t="s">
        <v>54</v>
      </c>
      <c r="H6" s="45">
        <v>3700</v>
      </c>
      <c r="I6" t="s">
        <v>45</v>
      </c>
      <c r="J6" t="s">
        <v>48</v>
      </c>
      <c r="K6" s="45">
        <v>0</v>
      </c>
      <c r="L6" t="s">
        <v>50</v>
      </c>
      <c r="M6" s="45">
        <v>2350</v>
      </c>
    </row>
    <row r="7" spans="2:13" x14ac:dyDescent="0.45">
      <c r="C7" t="s">
        <v>58</v>
      </c>
      <c r="D7" t="s">
        <v>46</v>
      </c>
      <c r="E7" s="45">
        <v>9500</v>
      </c>
      <c r="F7" s="46" t="s">
        <v>45</v>
      </c>
      <c r="G7" s="46" t="s">
        <v>54</v>
      </c>
      <c r="H7" s="45">
        <v>3800</v>
      </c>
      <c r="I7" t="s">
        <v>45</v>
      </c>
      <c r="J7" t="s">
        <v>48</v>
      </c>
      <c r="K7" s="45">
        <v>0</v>
      </c>
      <c r="L7" t="s">
        <v>50</v>
      </c>
      <c r="M7" s="45">
        <v>2400</v>
      </c>
    </row>
    <row r="8" spans="2:13" x14ac:dyDescent="0.45">
      <c r="C8" t="s">
        <v>59</v>
      </c>
      <c r="D8" t="s">
        <v>46</v>
      </c>
      <c r="E8" s="45">
        <v>10000</v>
      </c>
      <c r="F8" s="46" t="s">
        <v>45</v>
      </c>
      <c r="G8" s="46" t="s">
        <v>54</v>
      </c>
      <c r="H8" s="45">
        <v>4000</v>
      </c>
      <c r="I8" t="s">
        <v>45</v>
      </c>
      <c r="J8" t="s">
        <v>48</v>
      </c>
      <c r="K8" s="45">
        <v>0</v>
      </c>
      <c r="L8" t="s">
        <v>50</v>
      </c>
      <c r="M8" s="45">
        <v>2500</v>
      </c>
    </row>
    <row r="9" spans="2:13" x14ac:dyDescent="0.45">
      <c r="B9" t="s">
        <v>60</v>
      </c>
      <c r="C9" t="s">
        <v>61</v>
      </c>
      <c r="E9" s="45">
        <v>1200</v>
      </c>
      <c r="F9" t="s">
        <v>45</v>
      </c>
    </row>
    <row r="10" spans="2:13" x14ac:dyDescent="0.45">
      <c r="C10" t="s">
        <v>62</v>
      </c>
      <c r="E10" s="45">
        <v>2200</v>
      </c>
      <c r="F10" t="s">
        <v>45</v>
      </c>
    </row>
    <row r="11" spans="2:13" x14ac:dyDescent="0.45">
      <c r="C11" t="s">
        <v>63</v>
      </c>
      <c r="E11" s="45">
        <v>225</v>
      </c>
      <c r="F11" t="s">
        <v>45</v>
      </c>
    </row>
    <row r="12" spans="2:13" x14ac:dyDescent="0.45">
      <c r="C12" t="s">
        <v>64</v>
      </c>
      <c r="E12" s="45">
        <v>250</v>
      </c>
      <c r="F12" t="s">
        <v>45</v>
      </c>
    </row>
    <row r="13" spans="2:13" x14ac:dyDescent="0.45">
      <c r="C13" t="s">
        <v>65</v>
      </c>
      <c r="E13" s="45">
        <v>120</v>
      </c>
      <c r="F13" t="s">
        <v>45</v>
      </c>
    </row>
    <row r="14" spans="2:13" x14ac:dyDescent="0.45">
      <c r="C14" t="s">
        <v>94</v>
      </c>
      <c r="E14" s="45">
        <v>0</v>
      </c>
      <c r="F14" t="s">
        <v>45</v>
      </c>
    </row>
    <row r="15" spans="2:13" x14ac:dyDescent="0.45">
      <c r="B15" t="s">
        <v>66</v>
      </c>
      <c r="C15" t="s">
        <v>67</v>
      </c>
      <c r="E15" s="45">
        <v>30000</v>
      </c>
      <c r="F15" t="s">
        <v>45</v>
      </c>
    </row>
    <row r="16" spans="2:13" x14ac:dyDescent="0.45">
      <c r="B16" s="248" t="s">
        <v>68</v>
      </c>
      <c r="C16" t="s">
        <v>104</v>
      </c>
      <c r="E16" s="47">
        <v>0.3</v>
      </c>
    </row>
    <row r="17" spans="2:9" x14ac:dyDescent="0.45">
      <c r="B17" s="248"/>
      <c r="C17" t="s">
        <v>105</v>
      </c>
      <c r="E17" s="47">
        <v>0.7</v>
      </c>
      <c r="G17" s="48">
        <v>1</v>
      </c>
      <c r="H17" t="s">
        <v>69</v>
      </c>
      <c r="I17" t="s">
        <v>70</v>
      </c>
    </row>
    <row r="18" spans="2:9" x14ac:dyDescent="0.45">
      <c r="B18" s="248"/>
      <c r="C18" t="s">
        <v>106</v>
      </c>
      <c r="E18" s="47">
        <v>0</v>
      </c>
      <c r="G18" s="48">
        <v>3</v>
      </c>
      <c r="H18" t="s">
        <v>69</v>
      </c>
      <c r="I18" t="s">
        <v>70</v>
      </c>
    </row>
    <row r="19" spans="2:9" x14ac:dyDescent="0.45">
      <c r="B19" s="248" t="s">
        <v>71</v>
      </c>
      <c r="C19" t="s">
        <v>100</v>
      </c>
      <c r="E19" s="47">
        <v>0.6</v>
      </c>
    </row>
    <row r="20" spans="2:9" x14ac:dyDescent="0.45">
      <c r="B20" s="248"/>
      <c r="C20" t="s">
        <v>107</v>
      </c>
      <c r="E20" s="47">
        <v>0.4</v>
      </c>
      <c r="G20" s="48">
        <v>1</v>
      </c>
      <c r="H20" t="s">
        <v>69</v>
      </c>
      <c r="I20" t="s">
        <v>70</v>
      </c>
    </row>
    <row r="21" spans="2:9" x14ac:dyDescent="0.45">
      <c r="B21" s="248"/>
      <c r="C21" t="s">
        <v>108</v>
      </c>
      <c r="E21" s="47">
        <v>0</v>
      </c>
      <c r="G21" s="48">
        <v>0</v>
      </c>
      <c r="H21" t="s">
        <v>69</v>
      </c>
      <c r="I21" t="s">
        <v>70</v>
      </c>
    </row>
  </sheetData>
  <mergeCells count="2">
    <mergeCell ref="B16:B18"/>
    <mergeCell ref="B19:B21"/>
  </mergeCells>
  <phoneticPr fontId="3"/>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FA04B-EF3E-41A5-808F-020333E0F19A}">
  <sheetPr codeName="Sheet15">
    <pageSetUpPr fitToPage="1"/>
  </sheetPr>
  <dimension ref="B2:M20"/>
  <sheetViews>
    <sheetView workbookViewId="0">
      <selection activeCell="C5" sqref="C5"/>
    </sheetView>
  </sheetViews>
  <sheetFormatPr defaultRowHeight="18" x14ac:dyDescent="0.45"/>
  <cols>
    <col min="1" max="1" width="6" customWidth="1"/>
    <col min="2" max="2" width="44.8984375" customWidth="1"/>
    <col min="3" max="3" width="104.59765625" bestFit="1" customWidth="1"/>
    <col min="4" max="4" width="6.3984375" customWidth="1"/>
    <col min="7" max="7" width="7.09765625" customWidth="1"/>
  </cols>
  <sheetData>
    <row r="2" spans="2:13" ht="36" x14ac:dyDescent="0.45">
      <c r="B2" s="44" t="s">
        <v>92</v>
      </c>
      <c r="C2" t="s">
        <v>93</v>
      </c>
      <c r="D2" t="s">
        <v>46</v>
      </c>
      <c r="E2" s="45">
        <v>7500</v>
      </c>
      <c r="F2" s="46" t="s">
        <v>45</v>
      </c>
      <c r="G2" s="46" t="s">
        <v>54</v>
      </c>
      <c r="H2" s="45">
        <v>3200</v>
      </c>
      <c r="I2" t="s">
        <v>45</v>
      </c>
      <c r="J2" t="s">
        <v>48</v>
      </c>
      <c r="K2" s="45">
        <v>0</v>
      </c>
      <c r="L2" t="s">
        <v>50</v>
      </c>
      <c r="M2" s="45">
        <v>2200</v>
      </c>
    </row>
    <row r="3" spans="2:13" x14ac:dyDescent="0.45">
      <c r="C3" t="s">
        <v>55</v>
      </c>
      <c r="D3" t="s">
        <v>46</v>
      </c>
      <c r="E3" s="45">
        <v>8000</v>
      </c>
      <c r="F3" s="46" t="s">
        <v>45</v>
      </c>
      <c r="G3" s="46" t="s">
        <v>54</v>
      </c>
      <c r="H3" s="45">
        <v>3300</v>
      </c>
      <c r="I3" t="s">
        <v>45</v>
      </c>
      <c r="J3" t="s">
        <v>48</v>
      </c>
      <c r="K3" s="45">
        <v>0</v>
      </c>
      <c r="L3" t="s">
        <v>50</v>
      </c>
      <c r="M3" s="45">
        <v>2250</v>
      </c>
    </row>
    <row r="4" spans="2:13" x14ac:dyDescent="0.45">
      <c r="C4" t="s">
        <v>56</v>
      </c>
      <c r="D4" t="s">
        <v>46</v>
      </c>
      <c r="E4" s="45">
        <v>8500</v>
      </c>
      <c r="F4" s="46" t="s">
        <v>45</v>
      </c>
      <c r="G4" s="46" t="s">
        <v>54</v>
      </c>
      <c r="H4" s="45">
        <v>3500</v>
      </c>
      <c r="I4" t="s">
        <v>45</v>
      </c>
      <c r="J4" t="s">
        <v>48</v>
      </c>
      <c r="K4" s="45">
        <v>0</v>
      </c>
      <c r="L4" t="s">
        <v>50</v>
      </c>
      <c r="M4" s="45">
        <v>2300</v>
      </c>
    </row>
    <row r="5" spans="2:13" x14ac:dyDescent="0.45">
      <c r="C5" t="s">
        <v>57</v>
      </c>
      <c r="D5" t="s">
        <v>46</v>
      </c>
      <c r="E5" s="45">
        <v>9000</v>
      </c>
      <c r="F5" s="46" t="s">
        <v>45</v>
      </c>
      <c r="G5" s="46" t="s">
        <v>54</v>
      </c>
      <c r="H5" s="45">
        <v>3700</v>
      </c>
      <c r="I5" t="s">
        <v>45</v>
      </c>
      <c r="J5" t="s">
        <v>48</v>
      </c>
      <c r="K5" s="45">
        <v>0</v>
      </c>
      <c r="L5" t="s">
        <v>50</v>
      </c>
      <c r="M5" s="45">
        <v>2350</v>
      </c>
    </row>
    <row r="6" spans="2:13" x14ac:dyDescent="0.45">
      <c r="C6" t="s">
        <v>58</v>
      </c>
      <c r="D6" t="s">
        <v>46</v>
      </c>
      <c r="E6" s="45">
        <v>9500</v>
      </c>
      <c r="F6" s="46" t="s">
        <v>45</v>
      </c>
      <c r="G6" s="46" t="s">
        <v>54</v>
      </c>
      <c r="H6" s="45">
        <v>3800</v>
      </c>
      <c r="I6" t="s">
        <v>45</v>
      </c>
      <c r="J6" t="s">
        <v>48</v>
      </c>
      <c r="K6" s="45">
        <v>0</v>
      </c>
      <c r="L6" t="s">
        <v>50</v>
      </c>
      <c r="M6" s="45">
        <v>2400</v>
      </c>
    </row>
    <row r="7" spans="2:13" x14ac:dyDescent="0.45">
      <c r="C7" t="s">
        <v>59</v>
      </c>
      <c r="D7" t="s">
        <v>46</v>
      </c>
      <c r="E7" s="45">
        <v>10000</v>
      </c>
      <c r="F7" s="46" t="s">
        <v>45</v>
      </c>
      <c r="G7" s="46" t="s">
        <v>54</v>
      </c>
      <c r="H7" s="45">
        <v>4000</v>
      </c>
      <c r="I7" t="s">
        <v>45</v>
      </c>
      <c r="J7" t="s">
        <v>48</v>
      </c>
      <c r="K7" s="45">
        <v>0</v>
      </c>
      <c r="L7" t="s">
        <v>50</v>
      </c>
      <c r="M7" s="45">
        <v>2500</v>
      </c>
    </row>
    <row r="8" spans="2:13" x14ac:dyDescent="0.45">
      <c r="B8" t="s">
        <v>60</v>
      </c>
      <c r="C8" t="s">
        <v>61</v>
      </c>
      <c r="E8" s="45">
        <v>1200</v>
      </c>
      <c r="F8" t="s">
        <v>45</v>
      </c>
    </row>
    <row r="9" spans="2:13" x14ac:dyDescent="0.45">
      <c r="C9" t="s">
        <v>62</v>
      </c>
      <c r="E9" s="45">
        <v>2200</v>
      </c>
      <c r="F9" t="s">
        <v>45</v>
      </c>
    </row>
    <row r="10" spans="2:13" x14ac:dyDescent="0.45">
      <c r="C10" t="s">
        <v>63</v>
      </c>
      <c r="E10" s="45">
        <v>225</v>
      </c>
      <c r="F10" t="s">
        <v>45</v>
      </c>
    </row>
    <row r="11" spans="2:13" x14ac:dyDescent="0.45">
      <c r="C11" t="s">
        <v>64</v>
      </c>
      <c r="E11" s="45">
        <v>250</v>
      </c>
      <c r="F11" t="s">
        <v>45</v>
      </c>
    </row>
    <row r="12" spans="2:13" x14ac:dyDescent="0.45">
      <c r="C12" t="s">
        <v>65</v>
      </c>
      <c r="E12" s="45">
        <v>120</v>
      </c>
      <c r="F12" t="s">
        <v>45</v>
      </c>
    </row>
    <row r="13" spans="2:13" x14ac:dyDescent="0.45">
      <c r="C13" t="s">
        <v>94</v>
      </c>
      <c r="E13" s="45">
        <v>0</v>
      </c>
      <c r="F13" t="s">
        <v>45</v>
      </c>
    </row>
    <row r="14" spans="2:13" x14ac:dyDescent="0.45">
      <c r="B14" t="s">
        <v>66</v>
      </c>
      <c r="C14" t="s">
        <v>67</v>
      </c>
      <c r="E14" s="45">
        <v>30000</v>
      </c>
      <c r="F14" t="s">
        <v>45</v>
      </c>
    </row>
    <row r="15" spans="2:13" x14ac:dyDescent="0.45">
      <c r="B15" s="248" t="s">
        <v>68</v>
      </c>
      <c r="C15" t="s">
        <v>104</v>
      </c>
      <c r="E15" s="47">
        <v>0.3</v>
      </c>
    </row>
    <row r="16" spans="2:13" x14ac:dyDescent="0.45">
      <c r="B16" s="248"/>
      <c r="C16" t="s">
        <v>105</v>
      </c>
      <c r="E16" s="47">
        <v>0.7</v>
      </c>
      <c r="G16" s="48">
        <v>1</v>
      </c>
      <c r="H16" t="s">
        <v>69</v>
      </c>
      <c r="I16" t="s">
        <v>70</v>
      </c>
    </row>
    <row r="17" spans="2:9" x14ac:dyDescent="0.45">
      <c r="B17" s="248"/>
      <c r="C17" t="s">
        <v>106</v>
      </c>
      <c r="E17" s="47">
        <v>0</v>
      </c>
      <c r="G17" s="48">
        <v>3</v>
      </c>
      <c r="H17" t="s">
        <v>69</v>
      </c>
      <c r="I17" t="s">
        <v>70</v>
      </c>
    </row>
    <row r="18" spans="2:9" x14ac:dyDescent="0.45">
      <c r="B18" s="248" t="s">
        <v>71</v>
      </c>
      <c r="C18" t="s">
        <v>100</v>
      </c>
      <c r="E18" s="47">
        <v>0.6</v>
      </c>
    </row>
    <row r="19" spans="2:9" x14ac:dyDescent="0.45">
      <c r="B19" s="248"/>
      <c r="C19" t="s">
        <v>107</v>
      </c>
      <c r="E19" s="47">
        <v>0.4</v>
      </c>
      <c r="G19" s="48">
        <v>1</v>
      </c>
      <c r="H19" t="s">
        <v>69</v>
      </c>
      <c r="I19" t="s">
        <v>70</v>
      </c>
    </row>
    <row r="20" spans="2:9" x14ac:dyDescent="0.45">
      <c r="B20" s="248"/>
      <c r="C20" t="s">
        <v>108</v>
      </c>
      <c r="E20" s="47">
        <v>0</v>
      </c>
      <c r="G20" s="48">
        <v>0</v>
      </c>
      <c r="H20" t="s">
        <v>69</v>
      </c>
      <c r="I20" t="s">
        <v>70</v>
      </c>
    </row>
  </sheetData>
  <mergeCells count="2">
    <mergeCell ref="B15:B17"/>
    <mergeCell ref="B18:B20"/>
  </mergeCells>
  <phoneticPr fontId="3"/>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資金繰り表データ入力バージョン2 (原本)</vt:lpstr>
      <vt:lpstr>資金繰り表　バージョン2 (2)</vt:lpstr>
      <vt:lpstr>資金繰り表データ入力バージョン2 (2)</vt:lpstr>
      <vt:lpstr>資金繰り予定表 (製造原価あり)</vt:lpstr>
      <vt:lpstr>資金繰り予定表データ入力（製造原価あり）</vt:lpstr>
      <vt:lpstr>手形取引</vt:lpstr>
      <vt:lpstr>資金繰り表 (製造業向け)</vt:lpstr>
      <vt:lpstr>資金繰り表データ入力バージョン2　製造</vt:lpstr>
      <vt:lpstr>資金繰り表データ入力（製造）</vt:lpstr>
      <vt:lpstr>資金繰り表（製造業向け。事業者提出用）</vt:lpstr>
      <vt:lpstr>資金繰り表作成支援シート(旧)</vt:lpstr>
      <vt:lpstr>'資金繰り表 (製造業向け)'!Print_Area</vt:lpstr>
      <vt:lpstr>'資金繰り表　バージョン2 (2)'!Print_Area</vt:lpstr>
      <vt:lpstr>'資金繰り表（製造業向け。事業者提出用）'!Print_Area</vt:lpstr>
      <vt:lpstr>'資金繰り表データ入力バージョン2 (2)'!Print_Area</vt:lpstr>
      <vt:lpstr>'資金繰り表データ入力バージョン2 (原本)'!Print_Area</vt:lpstr>
      <vt:lpstr>'資金繰り表作成支援シート(旧)'!Print_Area</vt:lpstr>
      <vt:lpstr>'資金繰り予定表 (製造原価あり)'!Print_Area</vt:lpstr>
      <vt:lpstr>'資金繰り予定表データ入力（製造原価あり）'!Print_Area</vt:lpstr>
      <vt:lpstr>手形取引!Print_Area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八木澤　俊</dc:creator>
  <cp:lastModifiedBy>保証協会</cp:lastModifiedBy>
  <cp:lastPrinted>2023-02-14T00:13:07Z</cp:lastPrinted>
  <dcterms:created xsi:type="dcterms:W3CDTF">2020-12-23T05:56:37Z</dcterms:created>
  <dcterms:modified xsi:type="dcterms:W3CDTF">2023-03-31T01:24:32Z</dcterms:modified>
</cp:coreProperties>
</file>