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hon-adsv01\共有データ\010_全部署共有\070_企業支援\040_資金繰り予定表作成支援\010_様式\010_事業者支援シート・ヒアリングシート\020_資金繰り予定表　ひな形\010_ひな形\"/>
    </mc:Choice>
  </mc:AlternateContent>
  <xr:revisionPtr revIDLastSave="0" documentId="13_ncr:1_{D70211B8-32E4-4DC2-93A6-FBB750E24874}" xr6:coauthVersionLast="47" xr6:coauthVersionMax="47" xr10:uidLastSave="{00000000-0000-0000-0000-000000000000}"/>
  <bookViews>
    <workbookView xWindow="-108" yWindow="-108" windowWidth="30936" windowHeight="16776" firstSheet="3" activeTab="3" xr2:uid="{F57220F9-7CE8-4023-AB37-E22F9CF822AF}"/>
  </bookViews>
  <sheets>
    <sheet name="資金繰り表データ入力バージョン2 (原本)" sheetId="23" state="hidden" r:id="rId1"/>
    <sheet name="資金繰り表　バージョン2 (2)" sheetId="26" state="hidden" r:id="rId2"/>
    <sheet name="資金繰り表データ入力バージョン2 (2)" sheetId="27" state="hidden" r:id="rId3"/>
    <sheet name="資金繰り予定表" sheetId="37" r:id="rId4"/>
    <sheet name="資金繰り予定表データ入力" sheetId="51" r:id="rId5"/>
    <sheet name="資金繰り表 (製造業向け)" sheetId="24" state="hidden" r:id="rId6"/>
    <sheet name="資金繰り表データ入力バージョン2　製造" sheetId="25" state="hidden" r:id="rId7"/>
    <sheet name="資金繰り表データ入力（製造）" sheetId="19" state="hidden" r:id="rId8"/>
    <sheet name="資金繰り表（製造業向け。事業者提出用）" sheetId="18" state="hidden" r:id="rId9"/>
    <sheet name="資金繰り表作成支援シート(旧)" sheetId="9" state="hidden" r:id="rId10"/>
  </sheets>
  <definedNames>
    <definedName name="_xlnm.Print_Area" localSheetId="5">'資金繰り表 (製造業向け)'!$A$1:$S$37</definedName>
    <definedName name="_xlnm.Print_Area" localSheetId="1">'資金繰り表　バージョン2 (2)'!$A$1:$S$37</definedName>
    <definedName name="_xlnm.Print_Area" localSheetId="8">'資金繰り表（製造業向け。事業者提出用）'!$A$1:$P$36</definedName>
    <definedName name="_xlnm.Print_Area" localSheetId="2">'資金繰り表データ入力バージョン2 (2)'!$A$1:$S$41</definedName>
    <definedName name="_xlnm.Print_Area" localSheetId="0">'資金繰り表データ入力バージョン2 (原本)'!$A$1:$O$32</definedName>
    <definedName name="_xlnm.Print_Area" localSheetId="9">'資金繰り表作成支援シート(旧)'!$A$2:$Q$40</definedName>
    <definedName name="_xlnm.Print_Area" localSheetId="3">資金繰り予定表!$A$3:$S$40</definedName>
    <definedName name="_xlnm.Print_Area" localSheetId="4">資金繰り予定表データ入力!$A$1:$T$51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51" l="1"/>
  <c r="H13" i="51"/>
  <c r="G13" i="51" s="1"/>
  <c r="N6" i="51"/>
  <c r="N5" i="51"/>
  <c r="N8" i="51"/>
  <c r="M8" i="51"/>
  <c r="M7" i="51"/>
  <c r="M6" i="51"/>
  <c r="M5" i="51"/>
  <c r="D33" i="37"/>
  <c r="J30" i="37"/>
  <c r="I30" i="37"/>
  <c r="H30" i="37"/>
  <c r="G30" i="37"/>
  <c r="F30" i="37"/>
  <c r="E30" i="37"/>
  <c r="D30" i="37"/>
  <c r="J29" i="37"/>
  <c r="I29" i="37"/>
  <c r="H29" i="37"/>
  <c r="G29" i="37"/>
  <c r="F29" i="37"/>
  <c r="E29" i="37"/>
  <c r="D29" i="37"/>
  <c r="J28" i="37"/>
  <c r="I28" i="37"/>
  <c r="H28" i="37"/>
  <c r="G28" i="37"/>
  <c r="F28" i="37"/>
  <c r="E28" i="37"/>
  <c r="D28" i="37"/>
  <c r="C30" i="37"/>
  <c r="C29" i="37"/>
  <c r="C28" i="37"/>
  <c r="J23" i="37"/>
  <c r="I23" i="37"/>
  <c r="H23" i="37"/>
  <c r="G23" i="37"/>
  <c r="F23" i="37"/>
  <c r="E23" i="37"/>
  <c r="D23" i="37"/>
  <c r="C23" i="37"/>
  <c r="J22" i="37"/>
  <c r="I22" i="37"/>
  <c r="H22" i="37"/>
  <c r="G22" i="37"/>
  <c r="F22" i="37"/>
  <c r="E22" i="37"/>
  <c r="D22" i="37"/>
  <c r="C22" i="37"/>
  <c r="J20" i="37"/>
  <c r="R20" i="37" s="1"/>
  <c r="I20" i="37"/>
  <c r="H20" i="37"/>
  <c r="G20" i="37"/>
  <c r="F20" i="37"/>
  <c r="E20" i="37"/>
  <c r="D20" i="37"/>
  <c r="C20" i="37"/>
  <c r="J19" i="37"/>
  <c r="I19" i="37"/>
  <c r="H19" i="37"/>
  <c r="G19" i="37"/>
  <c r="F19" i="37"/>
  <c r="E19" i="37"/>
  <c r="D19" i="37"/>
  <c r="C19" i="37"/>
  <c r="J12" i="37"/>
  <c r="I12" i="37"/>
  <c r="H12" i="37"/>
  <c r="G12" i="37"/>
  <c r="F12" i="37"/>
  <c r="E12" i="37"/>
  <c r="D12" i="37"/>
  <c r="C12" i="37"/>
  <c r="E7" i="37"/>
  <c r="D7" i="37" l="1"/>
  <c r="D27" i="37" s="1"/>
  <c r="E27" i="37"/>
  <c r="M27" i="37" s="1"/>
  <c r="F19" i="51"/>
  <c r="H19" i="51"/>
  <c r="G19" i="51"/>
  <c r="Q39" i="51"/>
  <c r="S30" i="51"/>
  <c r="Q40" i="51" s="1"/>
  <c r="H24" i="51"/>
  <c r="N7" i="51"/>
  <c r="H21" i="51" s="1"/>
  <c r="M19" i="51" l="1"/>
  <c r="J11" i="37" s="1"/>
  <c r="C11" i="37"/>
  <c r="L19" i="51"/>
  <c r="I11" i="37" s="1"/>
  <c r="K19" i="51"/>
  <c r="H11" i="37" s="1"/>
  <c r="J19" i="51"/>
  <c r="G11" i="37" s="1"/>
  <c r="O11" i="37" s="1"/>
  <c r="I19" i="51"/>
  <c r="F11" i="37" s="1"/>
  <c r="N11" i="37" s="1"/>
  <c r="E11" i="37"/>
  <c r="M11" i="37" s="1"/>
  <c r="D11" i="37"/>
  <c r="M21" i="51"/>
  <c r="J16" i="37" s="1"/>
  <c r="R16" i="37" s="1"/>
  <c r="L21" i="51"/>
  <c r="I16" i="37" s="1"/>
  <c r="Q16" i="37" s="1"/>
  <c r="K21" i="51"/>
  <c r="H16" i="37" s="1"/>
  <c r="P16" i="37" s="1"/>
  <c r="J21" i="51"/>
  <c r="G16" i="37" s="1"/>
  <c r="O16" i="37" s="1"/>
  <c r="I21" i="51"/>
  <c r="F16" i="37" s="1"/>
  <c r="N16" i="37" s="1"/>
  <c r="E16" i="37"/>
  <c r="M16" i="37" s="1"/>
  <c r="G21" i="51"/>
  <c r="D16" i="37" s="1"/>
  <c r="F21" i="51"/>
  <c r="C16" i="37" s="1"/>
  <c r="Q41" i="51"/>
  <c r="H29" i="51" s="1"/>
  <c r="E21" i="37" s="1"/>
  <c r="M9" i="51"/>
  <c r="N9" i="51"/>
  <c r="G24" i="51"/>
  <c r="I13" i="51"/>
  <c r="I24" i="51" s="1"/>
  <c r="H28" i="51"/>
  <c r="H35" i="51"/>
  <c r="H18" i="51"/>
  <c r="H20" i="51"/>
  <c r="J29" i="51" l="1"/>
  <c r="G21" i="37" s="1"/>
  <c r="I29" i="51"/>
  <c r="F21" i="37" s="1"/>
  <c r="M29" i="51"/>
  <c r="J21" i="37" s="1"/>
  <c r="K29" i="51"/>
  <c r="H21" i="37" s="1"/>
  <c r="L29" i="51"/>
  <c r="I21" i="37" s="1"/>
  <c r="F29" i="51"/>
  <c r="C21" i="37" s="1"/>
  <c r="G29" i="51"/>
  <c r="D21" i="37" s="1"/>
  <c r="G28" i="51"/>
  <c r="J13" i="51"/>
  <c r="J24" i="51" s="1"/>
  <c r="I28" i="51"/>
  <c r="G20" i="51"/>
  <c r="G35" i="51"/>
  <c r="F13" i="51"/>
  <c r="F28" i="51" s="1"/>
  <c r="I20" i="51"/>
  <c r="I18" i="51"/>
  <c r="G18" i="51"/>
  <c r="I35" i="51"/>
  <c r="F18" i="51" l="1"/>
  <c r="F24" i="51"/>
  <c r="F20" i="51"/>
  <c r="E13" i="51"/>
  <c r="D13" i="51" s="1"/>
  <c r="C13" i="51" s="1"/>
  <c r="F35" i="51"/>
  <c r="J28" i="51"/>
  <c r="K13" i="51"/>
  <c r="K24" i="51" s="1"/>
  <c r="J35" i="51"/>
  <c r="J18" i="51"/>
  <c r="J20" i="51"/>
  <c r="K28" i="51" l="1"/>
  <c r="L13" i="51"/>
  <c r="L28" i="51" s="1"/>
  <c r="K35" i="51"/>
  <c r="K18" i="51"/>
  <c r="K20" i="51"/>
  <c r="M13" i="51" l="1"/>
  <c r="M28" i="51" s="1"/>
  <c r="L35" i="51"/>
  <c r="L20" i="51"/>
  <c r="L18" i="51"/>
  <c r="L24" i="51"/>
  <c r="M24" i="51" l="1"/>
  <c r="M18" i="51"/>
  <c r="M35" i="51"/>
  <c r="M20" i="51"/>
  <c r="C17" i="37" l="1"/>
  <c r="M19" i="37"/>
  <c r="M20" i="37"/>
  <c r="N20" i="37"/>
  <c r="O20" i="37"/>
  <c r="P20" i="37"/>
  <c r="Q20" i="37"/>
  <c r="M22" i="37"/>
  <c r="N22" i="37"/>
  <c r="O22" i="37"/>
  <c r="P22" i="37"/>
  <c r="Q22" i="37"/>
  <c r="R22" i="37"/>
  <c r="M23" i="37"/>
  <c r="N23" i="37"/>
  <c r="O23" i="37"/>
  <c r="P23" i="37"/>
  <c r="Q23" i="37"/>
  <c r="R23" i="37"/>
  <c r="L22" i="37"/>
  <c r="C24" i="37" l="1"/>
  <c r="N21" i="37"/>
  <c r="O21" i="37"/>
  <c r="P21" i="37"/>
  <c r="Q21" i="37"/>
  <c r="R21" i="37"/>
  <c r="E8" i="37"/>
  <c r="M8" i="37" s="1"/>
  <c r="M28" i="37"/>
  <c r="N28" i="37"/>
  <c r="N29" i="37"/>
  <c r="M12" i="37" l="1"/>
  <c r="M13" i="37" s="1"/>
  <c r="E13" i="37"/>
  <c r="C31" i="37"/>
  <c r="M21" i="37"/>
  <c r="D13" i="37"/>
  <c r="P11" i="37"/>
  <c r="Q11" i="37"/>
  <c r="R11" i="37"/>
  <c r="M17" i="37" l="1"/>
  <c r="M24" i="37" s="1"/>
  <c r="M25" i="37" s="1"/>
  <c r="H13" i="37"/>
  <c r="I13" i="37"/>
  <c r="J13" i="37"/>
  <c r="G13" i="37"/>
  <c r="F13" i="37"/>
  <c r="C13" i="37"/>
  <c r="C25" i="37" s="1"/>
  <c r="C32" i="37" s="1"/>
  <c r="N19" i="37"/>
  <c r="O19" i="37"/>
  <c r="P19" i="37"/>
  <c r="Q19" i="37"/>
  <c r="R19" i="37"/>
  <c r="L19" i="37"/>
  <c r="D31" i="37" l="1"/>
  <c r="E31" i="37"/>
  <c r="P12" i="37"/>
  <c r="P13" i="37" s="1"/>
  <c r="R12" i="37"/>
  <c r="R13" i="37" s="1"/>
  <c r="L33" i="37"/>
  <c r="L32" i="37"/>
  <c r="L31" i="37"/>
  <c r="R30" i="37"/>
  <c r="Q30" i="37"/>
  <c r="P30" i="37"/>
  <c r="O30" i="37"/>
  <c r="N30" i="37"/>
  <c r="M30" i="37"/>
  <c r="L30" i="37"/>
  <c r="L29" i="37"/>
  <c r="R28" i="37"/>
  <c r="Q28" i="37"/>
  <c r="P28" i="37"/>
  <c r="O28" i="37"/>
  <c r="L28" i="37"/>
  <c r="L25" i="37"/>
  <c r="L24" i="37"/>
  <c r="L23" i="37"/>
  <c r="L21" i="37"/>
  <c r="L20" i="37"/>
  <c r="L17" i="37"/>
  <c r="L16" i="37"/>
  <c r="L13" i="37"/>
  <c r="L12" i="37"/>
  <c r="L11" i="37"/>
  <c r="L8" i="37"/>
  <c r="E17" i="37" l="1"/>
  <c r="E24" i="37" s="1"/>
  <c r="R17" i="37"/>
  <c r="P17" i="37"/>
  <c r="G17" i="37"/>
  <c r="G24" i="37" s="1"/>
  <c r="Q17" i="37"/>
  <c r="D17" i="37"/>
  <c r="D24" i="37" s="1"/>
  <c r="F17" i="37"/>
  <c r="F24" i="37" s="1"/>
  <c r="M29" i="37"/>
  <c r="M31" i="37" s="1"/>
  <c r="M32" i="37" s="1"/>
  <c r="M33" i="37" s="1"/>
  <c r="N8" i="37" s="1"/>
  <c r="N31" i="37"/>
  <c r="N12" i="37"/>
  <c r="N13" i="37" s="1"/>
  <c r="O12" i="37"/>
  <c r="O13" i="37" s="1"/>
  <c r="F31" i="37"/>
  <c r="Q12" i="37"/>
  <c r="Q13" i="37" s="1"/>
  <c r="I17" i="37" l="1"/>
  <c r="I24" i="37" s="1"/>
  <c r="O17" i="37"/>
  <c r="N17" i="37"/>
  <c r="N24" i="37" s="1"/>
  <c r="J17" i="37"/>
  <c r="J24" i="37" s="1"/>
  <c r="H17" i="37"/>
  <c r="H24" i="37" s="1"/>
  <c r="G31" i="37"/>
  <c r="O29" i="37"/>
  <c r="O31" i="37" s="1"/>
  <c r="P29" i="37" l="1"/>
  <c r="P31" i="37" s="1"/>
  <c r="H31" i="37"/>
  <c r="O24" i="37"/>
  <c r="Q29" i="37" l="1"/>
  <c r="Q31" i="37" s="1"/>
  <c r="I31" i="37"/>
  <c r="P24" i="37"/>
  <c r="Q24" i="37" l="1"/>
  <c r="R29" i="37"/>
  <c r="R31" i="37" s="1"/>
  <c r="J31" i="37"/>
  <c r="R24" i="37" l="1"/>
  <c r="C6" i="24"/>
  <c r="L28" i="26"/>
  <c r="L27" i="26"/>
  <c r="L26" i="26"/>
  <c r="L25" i="26"/>
  <c r="L24" i="26"/>
  <c r="C24" i="26"/>
  <c r="C26" i="26" s="1"/>
  <c r="R23" i="26"/>
  <c r="Q23" i="26"/>
  <c r="P23" i="26"/>
  <c r="O23" i="26"/>
  <c r="N23" i="26"/>
  <c r="M23" i="26"/>
  <c r="L23" i="26"/>
  <c r="L22" i="26"/>
  <c r="L21" i="26"/>
  <c r="L20" i="26"/>
  <c r="E20" i="26"/>
  <c r="F20" i="26" s="1"/>
  <c r="D20" i="26"/>
  <c r="C20" i="26"/>
  <c r="L19" i="26"/>
  <c r="E19" i="26"/>
  <c r="M19" i="26" s="1"/>
  <c r="D19" i="26"/>
  <c r="C19" i="26"/>
  <c r="L18" i="26"/>
  <c r="E18" i="26"/>
  <c r="M18" i="26" s="1"/>
  <c r="D18" i="26"/>
  <c r="C18" i="26"/>
  <c r="L17" i="26"/>
  <c r="E17" i="26"/>
  <c r="M17" i="26" s="1"/>
  <c r="D17" i="26"/>
  <c r="C17" i="26"/>
  <c r="L15" i="26"/>
  <c r="D15" i="26"/>
  <c r="C15" i="26"/>
  <c r="L14" i="26"/>
  <c r="J14" i="26"/>
  <c r="R14" i="26" s="1"/>
  <c r="I14" i="26"/>
  <c r="Q14" i="26" s="1"/>
  <c r="H14" i="26"/>
  <c r="P14" i="26" s="1"/>
  <c r="G14" i="26"/>
  <c r="O14" i="26" s="1"/>
  <c r="F14" i="26"/>
  <c r="N14" i="26" s="1"/>
  <c r="E14" i="26"/>
  <c r="M15" i="26" s="1"/>
  <c r="D14" i="26"/>
  <c r="C14" i="26"/>
  <c r="L11" i="26"/>
  <c r="D11" i="26"/>
  <c r="C11" i="26"/>
  <c r="R10" i="26"/>
  <c r="Q10" i="26"/>
  <c r="P10" i="26"/>
  <c r="O10" i="26"/>
  <c r="N10" i="26"/>
  <c r="M10" i="26"/>
  <c r="L10" i="26"/>
  <c r="L9" i="26"/>
  <c r="J9" i="26"/>
  <c r="R9" i="26" s="1"/>
  <c r="I9" i="26"/>
  <c r="Q9" i="26" s="1"/>
  <c r="H9" i="26"/>
  <c r="P9" i="26" s="1"/>
  <c r="G9" i="26"/>
  <c r="O9" i="26" s="1"/>
  <c r="F9" i="26"/>
  <c r="N9" i="26" s="1"/>
  <c r="E9" i="26"/>
  <c r="D9" i="26"/>
  <c r="C9" i="26"/>
  <c r="E8" i="26"/>
  <c r="M8" i="26" s="1"/>
  <c r="L6" i="26"/>
  <c r="C6" i="26"/>
  <c r="E5" i="26"/>
  <c r="D5" i="26" s="1"/>
  <c r="C5" i="26" s="1"/>
  <c r="L28" i="24"/>
  <c r="L27" i="24"/>
  <c r="L26" i="24"/>
  <c r="L25" i="24"/>
  <c r="L24" i="24"/>
  <c r="C24" i="24"/>
  <c r="C26" i="24" s="1"/>
  <c r="R23" i="24"/>
  <c r="Q23" i="24"/>
  <c r="P23" i="24"/>
  <c r="O23" i="24"/>
  <c r="N23" i="24"/>
  <c r="M23" i="24"/>
  <c r="L23" i="24"/>
  <c r="L22" i="24"/>
  <c r="L21" i="24"/>
  <c r="L20" i="24"/>
  <c r="E20" i="24"/>
  <c r="M20" i="24" s="1"/>
  <c r="D20" i="24"/>
  <c r="C20" i="24"/>
  <c r="L19" i="24"/>
  <c r="E19" i="24"/>
  <c r="F19" i="24" s="1"/>
  <c r="D19" i="24"/>
  <c r="C19" i="24"/>
  <c r="L18" i="24"/>
  <c r="E18" i="24"/>
  <c r="M18" i="24" s="1"/>
  <c r="D18" i="24"/>
  <c r="C18" i="24"/>
  <c r="L17" i="24"/>
  <c r="E17" i="24"/>
  <c r="M17" i="24" s="1"/>
  <c r="D17" i="24"/>
  <c r="C17" i="24"/>
  <c r="L15" i="24"/>
  <c r="D15" i="24"/>
  <c r="C15" i="24"/>
  <c r="L14" i="24"/>
  <c r="J14" i="24"/>
  <c r="R14" i="24" s="1"/>
  <c r="I14" i="24"/>
  <c r="Q14" i="24" s="1"/>
  <c r="H14" i="24"/>
  <c r="P14" i="24" s="1"/>
  <c r="G14" i="24"/>
  <c r="O14" i="24" s="1"/>
  <c r="F14" i="24"/>
  <c r="N14" i="24" s="1"/>
  <c r="E14" i="24"/>
  <c r="D14" i="24"/>
  <c r="C14" i="24"/>
  <c r="L11" i="24"/>
  <c r="D11" i="24"/>
  <c r="C11" i="24"/>
  <c r="R10" i="24"/>
  <c r="Q10" i="24"/>
  <c r="P10" i="24"/>
  <c r="O10" i="24"/>
  <c r="N10" i="24"/>
  <c r="M10" i="24"/>
  <c r="L10" i="24"/>
  <c r="L9" i="24"/>
  <c r="J9" i="24"/>
  <c r="R9" i="24" s="1"/>
  <c r="I9" i="24"/>
  <c r="Q9" i="24" s="1"/>
  <c r="H9" i="24"/>
  <c r="P9" i="24" s="1"/>
  <c r="G9" i="24"/>
  <c r="O9" i="24" s="1"/>
  <c r="F9" i="24"/>
  <c r="N9" i="24" s="1"/>
  <c r="E9" i="24"/>
  <c r="M9" i="24" s="1"/>
  <c r="D9" i="24"/>
  <c r="C9" i="24"/>
  <c r="E8" i="24"/>
  <c r="M8" i="24" s="1"/>
  <c r="L6" i="24"/>
  <c r="E5" i="24"/>
  <c r="D5" i="24" s="1"/>
  <c r="C5" i="24" s="1"/>
  <c r="M11" i="24" l="1"/>
  <c r="D24" i="26"/>
  <c r="E24" i="26" s="1"/>
  <c r="M24" i="26" s="1"/>
  <c r="M26" i="26" s="1"/>
  <c r="G11" i="24"/>
  <c r="O11" i="26"/>
  <c r="M20" i="26"/>
  <c r="M21" i="26" s="1"/>
  <c r="P15" i="24"/>
  <c r="G11" i="26"/>
  <c r="C21" i="24"/>
  <c r="C22" i="24" s="1"/>
  <c r="C27" i="24" s="1"/>
  <c r="C28" i="24" s="1"/>
  <c r="D6" i="24" s="1"/>
  <c r="F20" i="24"/>
  <c r="P15" i="26"/>
  <c r="C21" i="26"/>
  <c r="C22" i="26" s="1"/>
  <c r="C27" i="26" s="1"/>
  <c r="C28" i="26" s="1"/>
  <c r="D6" i="26" s="1"/>
  <c r="F19" i="26"/>
  <c r="N11" i="24"/>
  <c r="R11" i="24"/>
  <c r="M15" i="24"/>
  <c r="F18" i="24"/>
  <c r="N18" i="24" s="1"/>
  <c r="D24" i="24"/>
  <c r="E24" i="24" s="1"/>
  <c r="F24" i="24" s="1"/>
  <c r="P11" i="26"/>
  <c r="F18" i="26"/>
  <c r="N18" i="26" s="1"/>
  <c r="P11" i="24"/>
  <c r="D21" i="24"/>
  <c r="D22" i="24" s="1"/>
  <c r="N11" i="26"/>
  <c r="R11" i="26"/>
  <c r="M11" i="26"/>
  <c r="D21" i="26"/>
  <c r="D22" i="26" s="1"/>
  <c r="D8" i="26"/>
  <c r="C8" i="26" s="1"/>
  <c r="E13" i="26"/>
  <c r="D13" i="26" s="1"/>
  <c r="C13" i="26" s="1"/>
  <c r="G20" i="26"/>
  <c r="N20" i="26"/>
  <c r="H11" i="26"/>
  <c r="Q15" i="26"/>
  <c r="E11" i="26"/>
  <c r="I11" i="26"/>
  <c r="M14" i="26"/>
  <c r="E15" i="26"/>
  <c r="E21" i="26" s="1"/>
  <c r="I15" i="26"/>
  <c r="N15" i="26"/>
  <c r="R15" i="26"/>
  <c r="F17" i="26"/>
  <c r="Q11" i="26"/>
  <c r="H15" i="26"/>
  <c r="M5" i="26"/>
  <c r="F8" i="26"/>
  <c r="M9" i="26"/>
  <c r="F11" i="26"/>
  <c r="J11" i="26"/>
  <c r="F15" i="26"/>
  <c r="J15" i="26"/>
  <c r="O15" i="26"/>
  <c r="F5" i="26"/>
  <c r="G15" i="26"/>
  <c r="D8" i="24"/>
  <c r="C8" i="24" s="1"/>
  <c r="E13" i="24"/>
  <c r="D13" i="24" s="1"/>
  <c r="C13" i="24" s="1"/>
  <c r="G19" i="24"/>
  <c r="N19" i="24"/>
  <c r="E11" i="24"/>
  <c r="I11" i="24"/>
  <c r="M14" i="24"/>
  <c r="E15" i="24"/>
  <c r="E21" i="24" s="1"/>
  <c r="I15" i="24"/>
  <c r="N15" i="24"/>
  <c r="R15" i="24"/>
  <c r="F17" i="24"/>
  <c r="M19" i="24"/>
  <c r="Q11" i="24"/>
  <c r="Q15" i="24"/>
  <c r="F5" i="24"/>
  <c r="F11" i="24"/>
  <c r="J11" i="24"/>
  <c r="O11" i="24"/>
  <c r="F15" i="24"/>
  <c r="J15" i="24"/>
  <c r="O15" i="24"/>
  <c r="H11" i="24"/>
  <c r="H15" i="24"/>
  <c r="M5" i="24"/>
  <c r="F8" i="24"/>
  <c r="G15" i="24"/>
  <c r="E26" i="24" l="1"/>
  <c r="M21" i="24"/>
  <c r="M22" i="24" s="1"/>
  <c r="G18" i="26"/>
  <c r="H18" i="26" s="1"/>
  <c r="G18" i="24"/>
  <c r="H18" i="24" s="1"/>
  <c r="F21" i="26"/>
  <c r="F22" i="26" s="1"/>
  <c r="E26" i="26"/>
  <c r="F24" i="26"/>
  <c r="G24" i="26" s="1"/>
  <c r="D26" i="26"/>
  <c r="D27" i="26" s="1"/>
  <c r="D28" i="26" s="1"/>
  <c r="E6" i="26" s="1"/>
  <c r="M22" i="26"/>
  <c r="M27" i="26" s="1"/>
  <c r="M24" i="24"/>
  <c r="M26" i="24" s="1"/>
  <c r="F21" i="24"/>
  <c r="F22" i="24" s="1"/>
  <c r="E22" i="24"/>
  <c r="N20" i="24"/>
  <c r="G20" i="24"/>
  <c r="D26" i="24"/>
  <c r="D27" i="24" s="1"/>
  <c r="D28" i="24" s="1"/>
  <c r="E6" i="24" s="1"/>
  <c r="N19" i="26"/>
  <c r="G19" i="26"/>
  <c r="M13" i="26"/>
  <c r="N5" i="26"/>
  <c r="G5" i="26"/>
  <c r="G8" i="26"/>
  <c r="F13" i="26"/>
  <c r="N13" i="26" s="1"/>
  <c r="N8" i="26"/>
  <c r="E22" i="26"/>
  <c r="G17" i="26"/>
  <c r="N17" i="26"/>
  <c r="O20" i="26"/>
  <c r="H20" i="26"/>
  <c r="M13" i="24"/>
  <c r="G8" i="24"/>
  <c r="F13" i="24"/>
  <c r="N13" i="24" s="1"/>
  <c r="N8" i="24"/>
  <c r="G24" i="24"/>
  <c r="F26" i="24"/>
  <c r="N24" i="24"/>
  <c r="N26" i="24" s="1"/>
  <c r="N17" i="24"/>
  <c r="G17" i="24"/>
  <c r="N5" i="24"/>
  <c r="G5" i="24"/>
  <c r="O19" i="24"/>
  <c r="H19" i="24"/>
  <c r="E27" i="24" l="1"/>
  <c r="E28" i="24" s="1"/>
  <c r="F6" i="24" s="1"/>
  <c r="O18" i="26"/>
  <c r="O18" i="24"/>
  <c r="M27" i="24"/>
  <c r="N24" i="26"/>
  <c r="N26" i="26" s="1"/>
  <c r="F26" i="26"/>
  <c r="F27" i="26" s="1"/>
  <c r="N21" i="24"/>
  <c r="N22" i="24" s="1"/>
  <c r="N27" i="24" s="1"/>
  <c r="E27" i="26"/>
  <c r="E28" i="26" s="1"/>
  <c r="F6" i="26" s="1"/>
  <c r="F27" i="24"/>
  <c r="G21" i="26"/>
  <c r="G22" i="26" s="1"/>
  <c r="M6" i="24"/>
  <c r="N21" i="26"/>
  <c r="N22" i="26" s="1"/>
  <c r="O19" i="26"/>
  <c r="H19" i="26"/>
  <c r="O20" i="24"/>
  <c r="H20" i="24"/>
  <c r="M6" i="26"/>
  <c r="M28" i="26" s="1"/>
  <c r="N6" i="26" s="1"/>
  <c r="P20" i="26"/>
  <c r="I20" i="26"/>
  <c r="H17" i="26"/>
  <c r="O17" i="26"/>
  <c r="H8" i="26"/>
  <c r="G13" i="26"/>
  <c r="O13" i="26" s="1"/>
  <c r="O8" i="26"/>
  <c r="I18" i="26"/>
  <c r="P18" i="26"/>
  <c r="H5" i="26"/>
  <c r="O5" i="26"/>
  <c r="G26" i="26"/>
  <c r="O24" i="26"/>
  <c r="O26" i="26" s="1"/>
  <c r="H24" i="26"/>
  <c r="P19" i="24"/>
  <c r="I19" i="24"/>
  <c r="I18" i="24"/>
  <c r="P18" i="24"/>
  <c r="H17" i="24"/>
  <c r="O17" i="24"/>
  <c r="H5" i="24"/>
  <c r="O5" i="24"/>
  <c r="G21" i="24"/>
  <c r="G22" i="24" s="1"/>
  <c r="G26" i="24"/>
  <c r="O24" i="24"/>
  <c r="O26" i="24" s="1"/>
  <c r="H24" i="24"/>
  <c r="G13" i="24"/>
  <c r="O13" i="24" s="1"/>
  <c r="H8" i="24"/>
  <c r="O8" i="24"/>
  <c r="N27" i="26" l="1"/>
  <c r="N28" i="26" s="1"/>
  <c r="O6" i="26" s="1"/>
  <c r="M28" i="24"/>
  <c r="N6" i="24" s="1"/>
  <c r="N28" i="24" s="1"/>
  <c r="O6" i="24" s="1"/>
  <c r="O21" i="24"/>
  <c r="O22" i="24" s="1"/>
  <c r="O27" i="24" s="1"/>
  <c r="F28" i="26"/>
  <c r="G6" i="26" s="1"/>
  <c r="F28" i="24"/>
  <c r="G6" i="24" s="1"/>
  <c r="G27" i="26"/>
  <c r="P20" i="24"/>
  <c r="I20" i="24"/>
  <c r="O21" i="26"/>
  <c r="O22" i="26" s="1"/>
  <c r="O27" i="26" s="1"/>
  <c r="I19" i="26"/>
  <c r="P19" i="26"/>
  <c r="H13" i="26"/>
  <c r="P13" i="26" s="1"/>
  <c r="P8" i="26"/>
  <c r="I8" i="26"/>
  <c r="I17" i="26"/>
  <c r="P17" i="26"/>
  <c r="H21" i="26"/>
  <c r="H22" i="26" s="1"/>
  <c r="J20" i="26"/>
  <c r="R20" i="26" s="1"/>
  <c r="Q20" i="26"/>
  <c r="P24" i="26"/>
  <c r="P26" i="26" s="1"/>
  <c r="H26" i="26"/>
  <c r="I24" i="26"/>
  <c r="P5" i="26"/>
  <c r="I5" i="26"/>
  <c r="J18" i="26"/>
  <c r="R18" i="26" s="1"/>
  <c r="Q18" i="26"/>
  <c r="H13" i="24"/>
  <c r="P13" i="24" s="1"/>
  <c r="P8" i="24"/>
  <c r="I8" i="24"/>
  <c r="J19" i="24"/>
  <c r="R19" i="24" s="1"/>
  <c r="Q19" i="24"/>
  <c r="G27" i="24"/>
  <c r="P17" i="24"/>
  <c r="I17" i="24"/>
  <c r="H21" i="24"/>
  <c r="H22" i="24" s="1"/>
  <c r="P24" i="24"/>
  <c r="P26" i="24" s="1"/>
  <c r="H26" i="24"/>
  <c r="I24" i="24"/>
  <c r="P5" i="24"/>
  <c r="I5" i="24"/>
  <c r="Q18" i="24"/>
  <c r="J18" i="24"/>
  <c r="R18" i="24" s="1"/>
  <c r="G28" i="24" l="1"/>
  <c r="H6" i="24" s="1"/>
  <c r="P21" i="26"/>
  <c r="P22" i="26" s="1"/>
  <c r="P27" i="26" s="1"/>
  <c r="G28" i="26"/>
  <c r="H6" i="26" s="1"/>
  <c r="O28" i="24"/>
  <c r="P6" i="24" s="1"/>
  <c r="P21" i="24"/>
  <c r="P22" i="24" s="1"/>
  <c r="P27" i="24" s="1"/>
  <c r="O28" i="26"/>
  <c r="P6" i="26" s="1"/>
  <c r="Q20" i="24"/>
  <c r="J20" i="24"/>
  <c r="R20" i="24" s="1"/>
  <c r="J19" i="26"/>
  <c r="R19" i="26" s="1"/>
  <c r="Q19" i="26"/>
  <c r="Q8" i="26"/>
  <c r="I13" i="26"/>
  <c r="Q13" i="26" s="1"/>
  <c r="J8" i="26"/>
  <c r="Q5" i="26"/>
  <c r="J5" i="26"/>
  <c r="R5" i="26" s="1"/>
  <c r="H27" i="26"/>
  <c r="J24" i="26"/>
  <c r="I26" i="26"/>
  <c r="Q24" i="26"/>
  <c r="Q26" i="26" s="1"/>
  <c r="Q17" i="26"/>
  <c r="J17" i="26"/>
  <c r="I21" i="26"/>
  <c r="I22" i="26" s="1"/>
  <c r="I27" i="26" s="1"/>
  <c r="Q8" i="24"/>
  <c r="J8" i="24"/>
  <c r="I13" i="24"/>
  <c r="Q13" i="24" s="1"/>
  <c r="J5" i="24"/>
  <c r="R5" i="24" s="1"/>
  <c r="Q5" i="24"/>
  <c r="H27" i="24"/>
  <c r="Q24" i="24"/>
  <c r="Q26" i="24" s="1"/>
  <c r="J24" i="24"/>
  <c r="I26" i="24"/>
  <c r="Q17" i="24"/>
  <c r="J17" i="24"/>
  <c r="I21" i="24"/>
  <c r="I22" i="24" s="1"/>
  <c r="H28" i="24" l="1"/>
  <c r="I6" i="24" s="1"/>
  <c r="H28" i="26"/>
  <c r="I6" i="26" s="1"/>
  <c r="I28" i="26" s="1"/>
  <c r="J6" i="26" s="1"/>
  <c r="Q21" i="26"/>
  <c r="Q22" i="26" s="1"/>
  <c r="Q27" i="26" s="1"/>
  <c r="Q21" i="24"/>
  <c r="Q22" i="24" s="1"/>
  <c r="Q27" i="24" s="1"/>
  <c r="P28" i="24"/>
  <c r="Q6" i="24" s="1"/>
  <c r="I27" i="24"/>
  <c r="P28" i="26"/>
  <c r="Q6" i="26" s="1"/>
  <c r="R17" i="26"/>
  <c r="R21" i="26" s="1"/>
  <c r="R22" i="26" s="1"/>
  <c r="J21" i="26"/>
  <c r="J22" i="26" s="1"/>
  <c r="J26" i="26"/>
  <c r="R24" i="26"/>
  <c r="R26" i="26" s="1"/>
  <c r="R8" i="26"/>
  <c r="J13" i="26"/>
  <c r="R13" i="26" s="1"/>
  <c r="R8" i="24"/>
  <c r="J13" i="24"/>
  <c r="R13" i="24" s="1"/>
  <c r="J26" i="24"/>
  <c r="R24" i="24"/>
  <c r="R26" i="24" s="1"/>
  <c r="R17" i="24"/>
  <c r="R21" i="24" s="1"/>
  <c r="R22" i="24" s="1"/>
  <c r="J21" i="24"/>
  <c r="J22" i="24" s="1"/>
  <c r="I28" i="24" l="1"/>
  <c r="J6" i="24" s="1"/>
  <c r="Q28" i="24"/>
  <c r="R6" i="24" s="1"/>
  <c r="J27" i="24"/>
  <c r="Q28" i="26"/>
  <c r="R6" i="26" s="1"/>
  <c r="J27" i="26"/>
  <c r="J28" i="26" s="1"/>
  <c r="R27" i="26"/>
  <c r="R27" i="24"/>
  <c r="J28" i="24" l="1"/>
  <c r="R28" i="24"/>
  <c r="R28" i="26"/>
  <c r="J35" i="18" l="1"/>
  <c r="H35" i="18"/>
  <c r="H34" i="18"/>
  <c r="J34" i="18"/>
  <c r="J33" i="18"/>
  <c r="C35" i="18"/>
  <c r="E35" i="18"/>
  <c r="E34" i="18"/>
  <c r="C34" i="18"/>
  <c r="E33" i="18"/>
  <c r="J26" i="18" l="1"/>
  <c r="C22" i="18" l="1"/>
  <c r="D22" i="18" s="1"/>
  <c r="C21" i="18"/>
  <c r="K21" i="18" s="1"/>
  <c r="C25" i="18"/>
  <c r="K25" i="18" s="1"/>
  <c r="C20" i="18"/>
  <c r="D20" i="18" s="1"/>
  <c r="L20" i="18" s="1"/>
  <c r="C19" i="18"/>
  <c r="D19" i="18" s="1"/>
  <c r="C18" i="18"/>
  <c r="D18" i="18" s="1"/>
  <c r="H17" i="18"/>
  <c r="P17" i="18" s="1"/>
  <c r="G17" i="18"/>
  <c r="O17" i="18" s="1"/>
  <c r="F17" i="18"/>
  <c r="N17" i="18" s="1"/>
  <c r="E17" i="18"/>
  <c r="M17" i="18" s="1"/>
  <c r="D17" i="18"/>
  <c r="L17" i="18" s="1"/>
  <c r="C17" i="18"/>
  <c r="H16" i="18"/>
  <c r="P16" i="18" s="1"/>
  <c r="G16" i="18"/>
  <c r="O16" i="18" s="1"/>
  <c r="F16" i="18"/>
  <c r="N16" i="18" s="1"/>
  <c r="E16" i="18"/>
  <c r="M16" i="18" s="1"/>
  <c r="D16" i="18"/>
  <c r="L16" i="18" s="1"/>
  <c r="C16" i="18"/>
  <c r="H13" i="18"/>
  <c r="P13" i="18" s="1"/>
  <c r="G13" i="18"/>
  <c r="F13" i="18"/>
  <c r="N13" i="18" s="1"/>
  <c r="E13" i="18"/>
  <c r="D13" i="18"/>
  <c r="L13" i="18" s="1"/>
  <c r="C13" i="18"/>
  <c r="H9" i="18"/>
  <c r="P9" i="18" s="1"/>
  <c r="G9" i="18"/>
  <c r="F9" i="18"/>
  <c r="N9" i="18" s="1"/>
  <c r="E9" i="18"/>
  <c r="M9" i="18" s="1"/>
  <c r="D9" i="18"/>
  <c r="C9" i="18"/>
  <c r="C6" i="18"/>
  <c r="K6" i="18" s="1"/>
  <c r="J27" i="18"/>
  <c r="J24" i="18"/>
  <c r="J23" i="18"/>
  <c r="J22" i="18"/>
  <c r="J21" i="18"/>
  <c r="D21" i="18"/>
  <c r="J25" i="18"/>
  <c r="J20" i="18"/>
  <c r="J19" i="18"/>
  <c r="K18" i="18"/>
  <c r="J18" i="18"/>
  <c r="J17" i="18"/>
  <c r="K17" i="18"/>
  <c r="K16" i="18"/>
  <c r="J14" i="18"/>
  <c r="J13" i="18"/>
  <c r="C12" i="18"/>
  <c r="D12" i="18" s="1"/>
  <c r="L12" i="18" s="1"/>
  <c r="J10" i="18"/>
  <c r="J9" i="18"/>
  <c r="C8" i="18"/>
  <c r="J6" i="18"/>
  <c r="C5" i="18"/>
  <c r="K5" i="18" s="1"/>
  <c r="C10" i="18" l="1"/>
  <c r="K9" i="18"/>
  <c r="K13" i="18"/>
  <c r="C14" i="18"/>
  <c r="K22" i="18"/>
  <c r="F10" i="18"/>
  <c r="N10" i="18" s="1"/>
  <c r="D14" i="18"/>
  <c r="L9" i="18"/>
  <c r="D10" i="18"/>
  <c r="L10" i="18" s="1"/>
  <c r="C23" i="18"/>
  <c r="G14" i="18"/>
  <c r="O14" i="18" s="1"/>
  <c r="H14" i="18"/>
  <c r="P14" i="18" s="1"/>
  <c r="K20" i="18"/>
  <c r="L19" i="18"/>
  <c r="E19" i="18"/>
  <c r="M19" i="18" s="1"/>
  <c r="K19" i="18"/>
  <c r="O13" i="18"/>
  <c r="H10" i="18"/>
  <c r="P10" i="18" s="1"/>
  <c r="E10" i="18"/>
  <c r="M10" i="18" s="1"/>
  <c r="K12" i="18"/>
  <c r="D5" i="18"/>
  <c r="L5" i="18" s="1"/>
  <c r="L14" i="18"/>
  <c r="F14" i="18"/>
  <c r="E21" i="18"/>
  <c r="L21" i="18"/>
  <c r="E22" i="18"/>
  <c r="L22" i="18"/>
  <c r="K14" i="18"/>
  <c r="E18" i="18"/>
  <c r="L18" i="18"/>
  <c r="K8" i="18"/>
  <c r="D8" i="18"/>
  <c r="M13" i="18"/>
  <c r="E14" i="18"/>
  <c r="O9" i="18"/>
  <c r="G10" i="18"/>
  <c r="E12" i="18"/>
  <c r="E20" i="18"/>
  <c r="D25" i="18"/>
  <c r="F19" i="18" l="1"/>
  <c r="N19" i="18" s="1"/>
  <c r="D23" i="18"/>
  <c r="D24" i="18" s="1"/>
  <c r="C24" i="18"/>
  <c r="C27" i="18" s="1"/>
  <c r="D6" i="18" s="1"/>
  <c r="K23" i="18"/>
  <c r="E5" i="18"/>
  <c r="F5" i="18" s="1"/>
  <c r="N14" i="18"/>
  <c r="L23" i="18"/>
  <c r="L24" i="18" s="1"/>
  <c r="M18" i="18"/>
  <c r="F18" i="18"/>
  <c r="M22" i="18"/>
  <c r="F22" i="18"/>
  <c r="O10" i="18"/>
  <c r="L8" i="18"/>
  <c r="E8" i="18"/>
  <c r="E25" i="18"/>
  <c r="E23" i="18" s="1"/>
  <c r="E24" i="18" s="1"/>
  <c r="L25" i="18"/>
  <c r="M12" i="18"/>
  <c r="F12" i="18"/>
  <c r="M21" i="18"/>
  <c r="F21" i="18"/>
  <c r="M20" i="18"/>
  <c r="F20" i="18"/>
  <c r="K10" i="18"/>
  <c r="M14" i="18"/>
  <c r="G19" i="18" l="1"/>
  <c r="O19" i="18" s="1"/>
  <c r="D27" i="18"/>
  <c r="E6" i="18" s="1"/>
  <c r="E27" i="18" s="1"/>
  <c r="F6" i="18" s="1"/>
  <c r="K24" i="18"/>
  <c r="M5" i="18"/>
  <c r="F8" i="18"/>
  <c r="M8" i="18"/>
  <c r="F25" i="18"/>
  <c r="F23" i="18" s="1"/>
  <c r="F24" i="18" s="1"/>
  <c r="M25" i="18"/>
  <c r="M23" i="18" s="1"/>
  <c r="M24" i="18" s="1"/>
  <c r="H19" i="18"/>
  <c r="P19" i="18" s="1"/>
  <c r="N21" i="18"/>
  <c r="G21" i="18"/>
  <c r="N22" i="18"/>
  <c r="G22" i="18"/>
  <c r="G20" i="18"/>
  <c r="N20" i="18"/>
  <c r="N12" i="18"/>
  <c r="G12" i="18"/>
  <c r="N18" i="18"/>
  <c r="G18" i="18"/>
  <c r="G5" i="18"/>
  <c r="N5" i="18"/>
  <c r="F27" i="18" l="1"/>
  <c r="G6" i="18" s="1"/>
  <c r="K27" i="18"/>
  <c r="L6" i="18" s="1"/>
  <c r="O5" i="18"/>
  <c r="H5" i="18"/>
  <c r="P5" i="18" s="1"/>
  <c r="H20" i="18"/>
  <c r="P20" i="18" s="1"/>
  <c r="O20" i="18"/>
  <c r="G25" i="18"/>
  <c r="N25" i="18"/>
  <c r="N23" i="18" s="1"/>
  <c r="N24" i="18" s="1"/>
  <c r="N8" i="18"/>
  <c r="G8" i="18"/>
  <c r="O21" i="18"/>
  <c r="H21" i="18"/>
  <c r="P21" i="18" s="1"/>
  <c r="H12" i="18"/>
  <c r="P12" i="18" s="1"/>
  <c r="O12" i="18"/>
  <c r="H18" i="18"/>
  <c r="O18" i="18"/>
  <c r="H22" i="18"/>
  <c r="P22" i="18" s="1"/>
  <c r="O22" i="18"/>
  <c r="L27" i="18" l="1"/>
  <c r="M6" i="18" s="1"/>
  <c r="M27" i="18" s="1"/>
  <c r="N6" i="18" s="1"/>
  <c r="N27" i="18" s="1"/>
  <c r="O6" i="18" s="1"/>
  <c r="P18" i="18"/>
  <c r="O25" i="18"/>
  <c r="O23" i="18" s="1"/>
  <c r="O24" i="18" s="1"/>
  <c r="H25" i="18"/>
  <c r="P25" i="18" s="1"/>
  <c r="G23" i="18"/>
  <c r="G24" i="18" s="1"/>
  <c r="O8" i="18"/>
  <c r="H8" i="18"/>
  <c r="P8" i="18" s="1"/>
  <c r="O27" i="18" l="1"/>
  <c r="P6" i="18" s="1"/>
  <c r="G27" i="18"/>
  <c r="H6" i="18" s="1"/>
  <c r="H23" i="18"/>
  <c r="H24" i="18" s="1"/>
  <c r="P23" i="18"/>
  <c r="P24" i="18" s="1"/>
  <c r="H27" i="18" l="1"/>
  <c r="P27" i="18"/>
  <c r="G36" i="9" l="1"/>
  <c r="F36" i="9"/>
  <c r="E36" i="9"/>
  <c r="D36" i="9"/>
  <c r="C36" i="9"/>
  <c r="B36" i="9"/>
  <c r="G30" i="9"/>
  <c r="F30" i="9"/>
  <c r="E30" i="9"/>
  <c r="D30" i="9"/>
  <c r="C30" i="9"/>
  <c r="B30" i="9"/>
  <c r="B32" i="9" s="1"/>
  <c r="G22" i="9"/>
  <c r="G31" i="9" s="1"/>
  <c r="G37" i="9" s="1"/>
  <c r="F22" i="9"/>
  <c r="F31" i="9" s="1"/>
  <c r="F37" i="9" s="1"/>
  <c r="E22" i="9"/>
  <c r="E32" i="9" s="1"/>
  <c r="D22" i="9"/>
  <c r="D32" i="9" s="1"/>
  <c r="C22" i="9"/>
  <c r="C31" i="9" s="1"/>
  <c r="C37" i="9" s="1"/>
  <c r="B22" i="9"/>
  <c r="B12" i="9"/>
  <c r="B10" i="9"/>
  <c r="B8" i="9"/>
  <c r="B6" i="9"/>
  <c r="G4" i="9"/>
  <c r="E4" i="9"/>
  <c r="G3" i="9"/>
  <c r="G2" i="9"/>
  <c r="E2" i="9"/>
  <c r="B2" i="9"/>
  <c r="F32" i="9" l="1"/>
  <c r="B31" i="9"/>
  <c r="B37" i="9" s="1"/>
  <c r="B38" i="9" s="1"/>
  <c r="C17" i="9" s="1"/>
  <c r="C38" i="9" s="1"/>
  <c r="D17" i="9" s="1"/>
  <c r="E31" i="9"/>
  <c r="E37" i="9" s="1"/>
  <c r="C32" i="9"/>
  <c r="G32" i="9"/>
  <c r="D31" i="9"/>
  <c r="D37" i="9" s="1"/>
  <c r="D38" i="9" l="1"/>
  <c r="E17" i="9" s="1"/>
  <c r="E38" i="9" s="1"/>
  <c r="F17" i="9" s="1"/>
  <c r="F38" i="9" s="1"/>
  <c r="G17" i="9" s="1"/>
  <c r="G38" i="9" s="1"/>
  <c r="D25" i="37"/>
  <c r="E25" i="37"/>
  <c r="E32" i="37" s="1"/>
  <c r="E33" i="37" s="1"/>
  <c r="N25" i="37"/>
  <c r="N32" i="37" s="1"/>
  <c r="R25" i="37"/>
  <c r="R32" i="37" s="1"/>
  <c r="G25" i="37"/>
  <c r="G32" i="37" s="1"/>
  <c r="P25" i="37"/>
  <c r="P32" i="37" s="1"/>
  <c r="I25" i="37"/>
  <c r="I32" i="37" s="1"/>
  <c r="D32" i="37" l="1"/>
  <c r="D8" i="37" s="1"/>
  <c r="C33" i="37" s="1"/>
  <c r="C8" i="37" s="1"/>
  <c r="F8" i="37"/>
  <c r="Q25" i="37"/>
  <c r="Q32" i="37" s="1"/>
  <c r="J25" i="37"/>
  <c r="J32" i="37" s="1"/>
  <c r="H25" i="37"/>
  <c r="H32" i="37" s="1"/>
  <c r="N33" i="37"/>
  <c r="O8" i="37" s="1"/>
  <c r="O25" i="37"/>
  <c r="O32" i="37" s="1"/>
  <c r="F25" i="37"/>
  <c r="F32" i="37" s="1"/>
  <c r="F33" i="37" l="1"/>
  <c r="G8" i="37" s="1"/>
  <c r="G33" i="37" s="1"/>
  <c r="H8" i="37" s="1"/>
  <c r="H33" i="37" s="1"/>
  <c r="I8" i="37" s="1"/>
  <c r="I33" i="37" s="1"/>
  <c r="J8" i="37" s="1"/>
  <c r="J33" i="37" s="1"/>
  <c r="O33" i="37"/>
  <c r="P8" i="37" s="1"/>
  <c r="P33" i="37" s="1"/>
  <c r="Q8" i="37" s="1"/>
  <c r="Q33" i="37" s="1"/>
  <c r="R8" i="37" s="1"/>
  <c r="R33" i="37" s="1"/>
  <c r="E10" i="37"/>
  <c r="M10" i="37" s="1"/>
  <c r="M7" i="37"/>
  <c r="J7" i="37"/>
  <c r="F7" i="37"/>
  <c r="F27" i="37" s="1"/>
  <c r="N27" i="37" s="1"/>
  <c r="D41" i="51"/>
  <c r="G7" i="37"/>
  <c r="H7" i="37"/>
  <c r="H27" i="37" s="1"/>
  <c r="P27" i="37" s="1"/>
  <c r="I7" i="37"/>
  <c r="I27" i="37" s="1"/>
  <c r="Q27" i="37" s="1"/>
  <c r="C7" i="37"/>
  <c r="C27" i="37" s="1"/>
  <c r="G15" i="37" l="1"/>
  <c r="O15" i="37" s="1"/>
  <c r="G27" i="37"/>
  <c r="O27" i="37" s="1"/>
  <c r="J15" i="37"/>
  <c r="R15" i="37" s="1"/>
  <c r="J27" i="37"/>
  <c r="R27" i="37" s="1"/>
  <c r="E15" i="37"/>
  <c r="M15" i="37" s="1"/>
  <c r="C10" i="37"/>
  <c r="H10" i="37"/>
  <c r="P10" i="37" s="1"/>
  <c r="C15" i="37"/>
  <c r="I10" i="37"/>
  <c r="Q10" i="37" s="1"/>
  <c r="F10" i="37"/>
  <c r="N10" i="37" s="1"/>
  <c r="G10" i="37"/>
  <c r="O10" i="37" s="1"/>
  <c r="D15" i="37"/>
  <c r="D10" i="37"/>
  <c r="I15" i="37"/>
  <c r="Q15" i="37" s="1"/>
  <c r="J10" i="37"/>
  <c r="R10" i="37" s="1"/>
  <c r="F15" i="37"/>
  <c r="N15" i="37" s="1"/>
  <c r="O7" i="37"/>
  <c r="R7" i="37"/>
  <c r="Q7" i="37"/>
  <c r="H15" i="37"/>
  <c r="P15" i="37" s="1"/>
  <c r="N7" i="37"/>
  <c r="P7"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人見 真美</author>
  </authors>
  <commentList>
    <comment ref="J33" authorId="0" shapeId="0" xr:uid="{85B5DBC8-4ABA-4433-B414-9EDE67E7B30C}">
      <text>
        <r>
          <rPr>
            <b/>
            <sz val="9"/>
            <color indexed="81"/>
            <rFont val="MS P ゴシック"/>
            <family val="3"/>
            <charset val="128"/>
          </rPr>
          <t>月末の現預金残高に着目してください。</t>
        </r>
      </text>
    </comment>
    <comment ref="R33" authorId="0" shapeId="0" xr:uid="{F2515F39-8B33-4C43-87B6-AED2D7374734}">
      <text>
        <r>
          <rPr>
            <b/>
            <sz val="9"/>
            <color indexed="81"/>
            <rFont val="MS P ゴシック"/>
            <family val="3"/>
            <charset val="128"/>
          </rPr>
          <t>月末の現預金残高に着目してください。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人見 真美</author>
  </authors>
  <commentList>
    <comment ref="Q41" authorId="0" shapeId="0" xr:uid="{13FF5BE5-82AE-461E-8115-0D6D649E2167}">
      <text>
        <r>
          <rPr>
            <b/>
            <sz val="11"/>
            <color indexed="81"/>
            <rFont val="游ゴシック"/>
            <family val="3"/>
            <charset val="128"/>
            <scheme val="minor"/>
          </rPr>
          <t>【営業経費等】
※営業経費には
　・水道光熱費
　・通信費
　・接待交際費などが含まれます。</t>
        </r>
      </text>
    </comment>
  </commentList>
</comments>
</file>

<file path=xl/sharedStrings.xml><?xml version="1.0" encoding="utf-8"?>
<sst xmlns="http://schemas.openxmlformats.org/spreadsheetml/2006/main" count="606" uniqueCount="247">
  <si>
    <t>顧客名</t>
    <rPh sb="0" eb="2">
      <t>コキャク</t>
    </rPh>
    <rPh sb="2" eb="3">
      <t>メイ</t>
    </rPh>
    <phoneticPr fontId="3"/>
  </si>
  <si>
    <t>代表者氏名</t>
    <rPh sb="0" eb="3">
      <t>ダイヒョウシャ</t>
    </rPh>
    <rPh sb="3" eb="5">
      <t>シメイ</t>
    </rPh>
    <phoneticPr fontId="3"/>
  </si>
  <si>
    <t>年齢</t>
    <rPh sb="0" eb="2">
      <t>ネンレイ</t>
    </rPh>
    <phoneticPr fontId="3"/>
  </si>
  <si>
    <t>資本金</t>
    <rPh sb="0" eb="3">
      <t>シホンキン</t>
    </rPh>
    <phoneticPr fontId="3"/>
  </si>
  <si>
    <t>万円</t>
    <rPh sb="0" eb="2">
      <t>マンエン</t>
    </rPh>
    <phoneticPr fontId="3"/>
  </si>
  <si>
    <t>年商</t>
    <rPh sb="0" eb="2">
      <t>ネンショウ</t>
    </rPh>
    <phoneticPr fontId="3"/>
  </si>
  <si>
    <t>従業員数</t>
    <rPh sb="0" eb="3">
      <t>ジュウギョウイン</t>
    </rPh>
    <rPh sb="3" eb="4">
      <t>スウ</t>
    </rPh>
    <phoneticPr fontId="3"/>
  </si>
  <si>
    <t>事業承継予定者</t>
    <rPh sb="0" eb="2">
      <t>ジギョウ</t>
    </rPh>
    <rPh sb="2" eb="4">
      <t>ショウケイ</t>
    </rPh>
    <rPh sb="4" eb="7">
      <t>ヨテイシャ</t>
    </rPh>
    <phoneticPr fontId="3"/>
  </si>
  <si>
    <t>主要金融機関</t>
    <rPh sb="0" eb="2">
      <t>シュヨウ</t>
    </rPh>
    <rPh sb="2" eb="4">
      <t>キンユウ</t>
    </rPh>
    <rPh sb="4" eb="6">
      <t>キカン</t>
    </rPh>
    <phoneticPr fontId="3"/>
  </si>
  <si>
    <t>沿革</t>
    <rPh sb="0" eb="2">
      <t>エンカク</t>
    </rPh>
    <phoneticPr fontId="3"/>
  </si>
  <si>
    <t>事業内容</t>
    <rPh sb="0" eb="2">
      <t>ジギョウ</t>
    </rPh>
    <rPh sb="2" eb="4">
      <t>ナイヨウ</t>
    </rPh>
    <phoneticPr fontId="3"/>
  </si>
  <si>
    <t>（単位：千円）</t>
    <rPh sb="1" eb="3">
      <t>タンイ</t>
    </rPh>
    <rPh sb="4" eb="6">
      <t>センエン</t>
    </rPh>
    <phoneticPr fontId="3"/>
  </si>
  <si>
    <t>収支区分</t>
    <rPh sb="0" eb="2">
      <t>シュウシ</t>
    </rPh>
    <rPh sb="2" eb="4">
      <t>クブン</t>
    </rPh>
    <phoneticPr fontId="3"/>
  </si>
  <si>
    <t>令和3年4月</t>
    <rPh sb="0" eb="2">
      <t>レイワ</t>
    </rPh>
    <rPh sb="3" eb="4">
      <t>ネン</t>
    </rPh>
    <rPh sb="5" eb="6">
      <t>ガツ</t>
    </rPh>
    <phoneticPr fontId="3"/>
  </si>
  <si>
    <t>令和3年5月</t>
    <rPh sb="0" eb="2">
      <t>レイワ</t>
    </rPh>
    <rPh sb="3" eb="4">
      <t>ネン</t>
    </rPh>
    <rPh sb="5" eb="6">
      <t>ガツ</t>
    </rPh>
    <phoneticPr fontId="3"/>
  </si>
  <si>
    <t>令和3年6月</t>
    <rPh sb="0" eb="2">
      <t>レイワ</t>
    </rPh>
    <rPh sb="3" eb="4">
      <t>ネン</t>
    </rPh>
    <rPh sb="5" eb="6">
      <t>ガツ</t>
    </rPh>
    <phoneticPr fontId="3"/>
  </si>
  <si>
    <t>令和3年7月</t>
    <rPh sb="0" eb="2">
      <t>レイワ</t>
    </rPh>
    <rPh sb="3" eb="4">
      <t>ネン</t>
    </rPh>
    <rPh sb="5" eb="6">
      <t>ガツ</t>
    </rPh>
    <phoneticPr fontId="3"/>
  </si>
  <si>
    <t>令和3年8月</t>
    <rPh sb="0" eb="2">
      <t>レイワ</t>
    </rPh>
    <rPh sb="3" eb="4">
      <t>ネン</t>
    </rPh>
    <rPh sb="5" eb="6">
      <t>ガツ</t>
    </rPh>
    <phoneticPr fontId="3"/>
  </si>
  <si>
    <t>令和3年9月</t>
    <rPh sb="0" eb="2">
      <t>レイワ</t>
    </rPh>
    <rPh sb="3" eb="4">
      <t>ネン</t>
    </rPh>
    <rPh sb="5" eb="6">
      <t>ガツ</t>
    </rPh>
    <phoneticPr fontId="3"/>
  </si>
  <si>
    <t>②現金売上</t>
    <rPh sb="1" eb="3">
      <t>ゲンキン</t>
    </rPh>
    <rPh sb="3" eb="5">
      <t>ウリアゲ</t>
    </rPh>
    <phoneticPr fontId="3"/>
  </si>
  <si>
    <t>⑤その他収入</t>
    <rPh sb="3" eb="4">
      <t>タ</t>
    </rPh>
    <rPh sb="4" eb="6">
      <t>シュウニュウ</t>
    </rPh>
    <phoneticPr fontId="3"/>
  </si>
  <si>
    <t>⑥経常収入
（②～⑤合算）</t>
    <rPh sb="1" eb="3">
      <t>ケイジョウ</t>
    </rPh>
    <rPh sb="3" eb="5">
      <t>シュウニュウ</t>
    </rPh>
    <rPh sb="10" eb="12">
      <t>ガッサン</t>
    </rPh>
    <phoneticPr fontId="3"/>
  </si>
  <si>
    <t>⑦現金仕入</t>
    <rPh sb="1" eb="3">
      <t>ゲンキン</t>
    </rPh>
    <rPh sb="3" eb="5">
      <t>シイ</t>
    </rPh>
    <phoneticPr fontId="3"/>
  </si>
  <si>
    <t>⑩人件費支払</t>
    <rPh sb="1" eb="4">
      <t>ジンケンヒ</t>
    </rPh>
    <rPh sb="4" eb="6">
      <t>シハラ</t>
    </rPh>
    <phoneticPr fontId="3"/>
  </si>
  <si>
    <t>⑰借入金調達</t>
    <rPh sb="1" eb="3">
      <t>カリイレ</t>
    </rPh>
    <rPh sb="3" eb="4">
      <t>キン</t>
    </rPh>
    <rPh sb="4" eb="6">
      <t>チョウタツ</t>
    </rPh>
    <phoneticPr fontId="3"/>
  </si>
  <si>
    <t>⑲借入金返済</t>
    <rPh sb="1" eb="3">
      <t>カリイレ</t>
    </rPh>
    <rPh sb="3" eb="4">
      <t>キン</t>
    </rPh>
    <rPh sb="4" eb="6">
      <t>ヘンサイ</t>
    </rPh>
    <phoneticPr fontId="3"/>
  </si>
  <si>
    <t>　　</t>
    <phoneticPr fontId="3"/>
  </si>
  <si>
    <r>
      <rPr>
        <sz val="24"/>
        <color theme="1"/>
        <rFont val="ＭＳ ゴシック"/>
        <family val="3"/>
        <charset val="128"/>
      </rPr>
      <t>【お問い合わせ】　栃木県信用保証協会○○部○○課　担当○○　℡028-635-○○○○</t>
    </r>
    <r>
      <rPr>
        <sz val="11"/>
        <color theme="1"/>
        <rFont val="游ゴシック"/>
        <family val="2"/>
        <charset val="128"/>
        <scheme val="minor"/>
      </rPr>
      <t xml:space="preserve">
</t>
    </r>
    <phoneticPr fontId="3"/>
  </si>
  <si>
    <t>①月初資金残高</t>
    <rPh sb="1" eb="3">
      <t>ゲッショ</t>
    </rPh>
    <rPh sb="3" eb="5">
      <t>シキン</t>
    </rPh>
    <rPh sb="5" eb="7">
      <t>ザンダカ</t>
    </rPh>
    <rPh sb="6" eb="7">
      <t>ダカ</t>
    </rPh>
    <phoneticPr fontId="3"/>
  </si>
  <si>
    <t>③受取手形取立</t>
    <rPh sb="1" eb="2">
      <t>ウ</t>
    </rPh>
    <rPh sb="2" eb="3">
      <t>ト</t>
    </rPh>
    <rPh sb="3" eb="5">
      <t>テガタ</t>
    </rPh>
    <rPh sb="5" eb="7">
      <t>トリタテ</t>
    </rPh>
    <phoneticPr fontId="3"/>
  </si>
  <si>
    <t>④売掛金回収</t>
    <rPh sb="1" eb="3">
      <t>ウリカケ</t>
    </rPh>
    <rPh sb="3" eb="4">
      <t>キン</t>
    </rPh>
    <rPh sb="4" eb="6">
      <t>カイシュウ</t>
    </rPh>
    <phoneticPr fontId="3"/>
  </si>
  <si>
    <t>⑧支払手形決済</t>
    <rPh sb="1" eb="3">
      <t>シハライ</t>
    </rPh>
    <rPh sb="3" eb="5">
      <t>テガタ</t>
    </rPh>
    <rPh sb="5" eb="7">
      <t>ケッサイ</t>
    </rPh>
    <phoneticPr fontId="3"/>
  </si>
  <si>
    <t>⑨買掛金支払</t>
    <rPh sb="1" eb="4">
      <t>カイカケキン</t>
    </rPh>
    <rPh sb="4" eb="6">
      <t>シハライ</t>
    </rPh>
    <phoneticPr fontId="3"/>
  </si>
  <si>
    <t>⑪支払利息</t>
    <rPh sb="1" eb="3">
      <t>シハライ</t>
    </rPh>
    <rPh sb="3" eb="5">
      <t>リソク</t>
    </rPh>
    <phoneticPr fontId="3"/>
  </si>
  <si>
    <t>⑫税金支払</t>
    <rPh sb="1" eb="3">
      <t>ゼイキン</t>
    </rPh>
    <rPh sb="3" eb="5">
      <t>シハラ</t>
    </rPh>
    <phoneticPr fontId="3"/>
  </si>
  <si>
    <t>⑬その他支出</t>
    <rPh sb="3" eb="4">
      <t>タ</t>
    </rPh>
    <rPh sb="4" eb="6">
      <t>シシュツ</t>
    </rPh>
    <phoneticPr fontId="3"/>
  </si>
  <si>
    <t>⑭経常支出
（⑦～⑬合算）</t>
    <rPh sb="1" eb="3">
      <t>ケイジョウ</t>
    </rPh>
    <rPh sb="3" eb="5">
      <t>シシュツ</t>
    </rPh>
    <rPh sb="10" eb="12">
      <t>ガッサン</t>
    </rPh>
    <phoneticPr fontId="3"/>
  </si>
  <si>
    <t>⑮経常収支
（⑥－⑮）</t>
    <rPh sb="1" eb="3">
      <t>ケイジョウ</t>
    </rPh>
    <rPh sb="3" eb="5">
      <t>シュウシ</t>
    </rPh>
    <phoneticPr fontId="3"/>
  </si>
  <si>
    <t>⑯経常収支比率
（⑥/⑭）</t>
    <rPh sb="1" eb="3">
      <t>ケイジョウ</t>
    </rPh>
    <rPh sb="3" eb="5">
      <t>シュウシ</t>
    </rPh>
    <rPh sb="5" eb="7">
      <t>ヒリツ</t>
    </rPh>
    <phoneticPr fontId="3"/>
  </si>
  <si>
    <t>⑱手形割引</t>
    <rPh sb="1" eb="3">
      <t>テガタ</t>
    </rPh>
    <rPh sb="3" eb="5">
      <t>ワリビキ</t>
    </rPh>
    <phoneticPr fontId="3"/>
  </si>
  <si>
    <t>⑳財務収支
（⑰＋⑱－⑲）</t>
    <rPh sb="1" eb="3">
      <t>ザイム</t>
    </rPh>
    <rPh sb="3" eb="5">
      <t>シュウシ</t>
    </rPh>
    <phoneticPr fontId="3"/>
  </si>
  <si>
    <t>㉑収支合計
（⑮＋⑳）</t>
    <rPh sb="3" eb="5">
      <t>ゴウケイ</t>
    </rPh>
    <phoneticPr fontId="3"/>
  </si>
  <si>
    <t>㉔月末資金残高
（①＋㉑）</t>
    <rPh sb="1" eb="3">
      <t>ゲツマツ</t>
    </rPh>
    <rPh sb="3" eb="5">
      <t>シキン</t>
    </rPh>
    <rPh sb="5" eb="7">
      <t>ザンダカ</t>
    </rPh>
    <phoneticPr fontId="3"/>
  </si>
  <si>
    <t>コロナの影響</t>
    <rPh sb="4" eb="6">
      <t>エイキョウ</t>
    </rPh>
    <phoneticPr fontId="3"/>
  </si>
  <si>
    <t>今後の展望</t>
    <rPh sb="0" eb="2">
      <t>コンゴ</t>
    </rPh>
    <rPh sb="3" eb="5">
      <t>テンボウ</t>
    </rPh>
    <phoneticPr fontId="3"/>
  </si>
  <si>
    <t>千円</t>
    <rPh sb="0" eb="2">
      <t>センエン</t>
    </rPh>
    <phoneticPr fontId="3"/>
  </si>
  <si>
    <t>売上</t>
    <rPh sb="0" eb="2">
      <t>ウリアゲ</t>
    </rPh>
    <phoneticPr fontId="3"/>
  </si>
  <si>
    <t>単位：千円</t>
    <rPh sb="0" eb="2">
      <t>タンイ</t>
    </rPh>
    <rPh sb="3" eb="5">
      <t>センエン</t>
    </rPh>
    <phoneticPr fontId="3"/>
  </si>
  <si>
    <t>外注費</t>
    <rPh sb="0" eb="3">
      <t>ガイチュウヒ</t>
    </rPh>
    <phoneticPr fontId="3"/>
  </si>
  <si>
    <t>労務費</t>
    <rPh sb="0" eb="3">
      <t>ロウムヒ</t>
    </rPh>
    <phoneticPr fontId="3"/>
  </si>
  <si>
    <t>支払利息</t>
    <rPh sb="0" eb="2">
      <t>シハライ</t>
    </rPh>
    <rPh sb="2" eb="4">
      <t>リソク</t>
    </rPh>
    <phoneticPr fontId="3"/>
  </si>
  <si>
    <t>今後6ヶ月の売上・仕入の予定金額を教えて下さい。</t>
    <rPh sb="0" eb="2">
      <t>コンゴ</t>
    </rPh>
    <rPh sb="4" eb="5">
      <t>ゲツ</t>
    </rPh>
    <rPh sb="6" eb="8">
      <t>ウリアゲ</t>
    </rPh>
    <rPh sb="9" eb="11">
      <t>シイレ</t>
    </rPh>
    <rPh sb="12" eb="14">
      <t>ヨテイ</t>
    </rPh>
    <rPh sb="14" eb="16">
      <t>キンガク</t>
    </rPh>
    <rPh sb="17" eb="18">
      <t>オシ</t>
    </rPh>
    <rPh sb="20" eb="21">
      <t>クダ</t>
    </rPh>
    <phoneticPr fontId="3"/>
  </si>
  <si>
    <t>来月の売上・仕入の予定金額は？</t>
    <rPh sb="0" eb="2">
      <t>ライゲツ</t>
    </rPh>
    <rPh sb="3" eb="5">
      <t>ウリアゲ</t>
    </rPh>
    <rPh sb="6" eb="8">
      <t>シイレ</t>
    </rPh>
    <rPh sb="9" eb="11">
      <t>ヨテイ</t>
    </rPh>
    <rPh sb="11" eb="13">
      <t>キンガク</t>
    </rPh>
    <phoneticPr fontId="3"/>
  </si>
  <si>
    <t>仕入</t>
    <rPh sb="0" eb="2">
      <t>シイレ</t>
    </rPh>
    <phoneticPr fontId="3"/>
  </si>
  <si>
    <t>2ヶ月目は？</t>
    <rPh sb="2" eb="4">
      <t>ゲツメ</t>
    </rPh>
    <phoneticPr fontId="3"/>
  </si>
  <si>
    <t>3ヶ月目は？</t>
    <rPh sb="2" eb="4">
      <t>ゲツメ</t>
    </rPh>
    <phoneticPr fontId="3"/>
  </si>
  <si>
    <t>4ヶ月目は？</t>
    <rPh sb="2" eb="4">
      <t>ゲツメ</t>
    </rPh>
    <phoneticPr fontId="3"/>
  </si>
  <si>
    <t>5ヶ月目は？</t>
    <rPh sb="2" eb="4">
      <t>ゲツメ</t>
    </rPh>
    <phoneticPr fontId="3"/>
  </si>
  <si>
    <t>6ヶ月目は？</t>
    <rPh sb="2" eb="4">
      <t>ゲツメ</t>
    </rPh>
    <phoneticPr fontId="3"/>
  </si>
  <si>
    <t>来月支払予定の経費について、教えて下さい。</t>
    <rPh sb="0" eb="2">
      <t>ライゲツ</t>
    </rPh>
    <rPh sb="2" eb="4">
      <t>シハライ</t>
    </rPh>
    <rPh sb="4" eb="6">
      <t>ヨテイ</t>
    </rPh>
    <rPh sb="7" eb="9">
      <t>ケイヒ</t>
    </rPh>
    <rPh sb="14" eb="15">
      <t>オシ</t>
    </rPh>
    <rPh sb="17" eb="18">
      <t>クダ</t>
    </rPh>
    <phoneticPr fontId="3"/>
  </si>
  <si>
    <t>来月の人件費の金額は？</t>
    <rPh sb="0" eb="2">
      <t>ライゲツ</t>
    </rPh>
    <rPh sb="3" eb="6">
      <t>ジンケンヒ</t>
    </rPh>
    <rPh sb="7" eb="9">
      <t>キンガク</t>
    </rPh>
    <phoneticPr fontId="3"/>
  </si>
  <si>
    <t>来月の営業経費の金額は？（水道光熱費・旅費交通費・接待交際費・通信費・賃借料等）</t>
    <rPh sb="0" eb="2">
      <t>ライゲツ</t>
    </rPh>
    <rPh sb="3" eb="5">
      <t>エイギョウ</t>
    </rPh>
    <rPh sb="5" eb="7">
      <t>ケイヒ</t>
    </rPh>
    <rPh sb="8" eb="10">
      <t>キンガク</t>
    </rPh>
    <rPh sb="13" eb="15">
      <t>スイドウ</t>
    </rPh>
    <rPh sb="15" eb="18">
      <t>コウネツヒ</t>
    </rPh>
    <rPh sb="19" eb="21">
      <t>リョヒ</t>
    </rPh>
    <rPh sb="21" eb="24">
      <t>コウツウヒ</t>
    </rPh>
    <rPh sb="25" eb="27">
      <t>セッタイ</t>
    </rPh>
    <rPh sb="27" eb="30">
      <t>コウサイヒ</t>
    </rPh>
    <rPh sb="31" eb="34">
      <t>ツウシンヒ</t>
    </rPh>
    <rPh sb="35" eb="38">
      <t>チンシャクリョウ</t>
    </rPh>
    <rPh sb="38" eb="39">
      <t>トウ</t>
    </rPh>
    <phoneticPr fontId="3"/>
  </si>
  <si>
    <t>来月の支払利息の金額は？</t>
    <rPh sb="0" eb="2">
      <t>ライゲツ</t>
    </rPh>
    <rPh sb="3" eb="5">
      <t>シハライ</t>
    </rPh>
    <rPh sb="5" eb="7">
      <t>リソク</t>
    </rPh>
    <rPh sb="8" eb="10">
      <t>キンガク</t>
    </rPh>
    <phoneticPr fontId="3"/>
  </si>
  <si>
    <t>来月の借入金返済額は？</t>
    <phoneticPr fontId="3"/>
  </si>
  <si>
    <t>来月の税金・社会保険料の金額は？（6ヶ月以内に支払う消費税等も加味し、平準化した金額を入力すること）</t>
    <phoneticPr fontId="3"/>
  </si>
  <si>
    <t>現預金について、教えて下さい。</t>
    <rPh sb="0" eb="3">
      <t>ゲンヨキン</t>
    </rPh>
    <rPh sb="8" eb="9">
      <t>オシ</t>
    </rPh>
    <rPh sb="11" eb="12">
      <t>クダ</t>
    </rPh>
    <phoneticPr fontId="3"/>
  </si>
  <si>
    <t>今月末の預金残高見込みは？</t>
    <rPh sb="0" eb="3">
      <t>コンゲツマツ</t>
    </rPh>
    <rPh sb="4" eb="6">
      <t>ヨキン</t>
    </rPh>
    <rPh sb="6" eb="8">
      <t>ザンダカ</t>
    </rPh>
    <rPh sb="8" eb="10">
      <t>ミコ</t>
    </rPh>
    <phoneticPr fontId="3"/>
  </si>
  <si>
    <t>売上の回収方法と入金までの期間を教えて下さい。複数者取引がある場合は、原則平均。算出困難な場合はメイン取引先の条件を入力。</t>
    <rPh sb="0" eb="2">
      <t>ウリアゲ</t>
    </rPh>
    <rPh sb="3" eb="5">
      <t>カイシュウ</t>
    </rPh>
    <rPh sb="5" eb="7">
      <t>ホウホウ</t>
    </rPh>
    <rPh sb="8" eb="10">
      <t>ニュウキン</t>
    </rPh>
    <rPh sb="13" eb="15">
      <t>キカン</t>
    </rPh>
    <rPh sb="16" eb="17">
      <t>オシ</t>
    </rPh>
    <rPh sb="19" eb="20">
      <t>クダ</t>
    </rPh>
    <phoneticPr fontId="3"/>
  </si>
  <si>
    <t>ヶ月後</t>
    <rPh sb="1" eb="3">
      <t>ゲツゴ</t>
    </rPh>
    <phoneticPr fontId="3"/>
  </si>
  <si>
    <t>（小数点以下は切り上げ）</t>
    <rPh sb="1" eb="4">
      <t>ショウスウテン</t>
    </rPh>
    <rPh sb="4" eb="6">
      <t>イカ</t>
    </rPh>
    <rPh sb="7" eb="8">
      <t>キ</t>
    </rPh>
    <rPh sb="9" eb="10">
      <t>ア</t>
    </rPh>
    <phoneticPr fontId="3"/>
  </si>
  <si>
    <t>仕入の支払方法と入金までの期間を教えて下さい。複数者取引がある場合は、原則平均。算出困難な場合はメイン取引先の条件を入力。</t>
    <rPh sb="0" eb="2">
      <t>シイレ</t>
    </rPh>
    <rPh sb="3" eb="5">
      <t>シハライ</t>
    </rPh>
    <rPh sb="5" eb="7">
      <t>ホウホウ</t>
    </rPh>
    <rPh sb="8" eb="10">
      <t>ニュウキン</t>
    </rPh>
    <rPh sb="13" eb="15">
      <t>キカン</t>
    </rPh>
    <rPh sb="16" eb="17">
      <t>オシ</t>
    </rPh>
    <rPh sb="19" eb="20">
      <t>クダ</t>
    </rPh>
    <phoneticPr fontId="3"/>
  </si>
  <si>
    <t>達成率見込</t>
    <rPh sb="0" eb="3">
      <t>タッセイリツ</t>
    </rPh>
    <rPh sb="3" eb="5">
      <t>ミコ</t>
    </rPh>
    <phoneticPr fontId="3"/>
  </si>
  <si>
    <t>資金予定表</t>
    <rPh sb="0" eb="2">
      <t>シキン</t>
    </rPh>
    <rPh sb="2" eb="5">
      <t>ヨテイヒョウ</t>
    </rPh>
    <rPh sb="4" eb="5">
      <t>ヒョウ</t>
    </rPh>
    <phoneticPr fontId="3"/>
  </si>
  <si>
    <t>達成率を加味した資金予定表</t>
    <rPh sb="0" eb="3">
      <t>タッセイリツ</t>
    </rPh>
    <rPh sb="4" eb="6">
      <t>カミ</t>
    </rPh>
    <rPh sb="8" eb="10">
      <t>シキン</t>
    </rPh>
    <rPh sb="10" eb="12">
      <t>ヨテイ</t>
    </rPh>
    <rPh sb="12" eb="13">
      <t>ヒョウ</t>
    </rPh>
    <phoneticPr fontId="3"/>
  </si>
  <si>
    <t>月初現金残高</t>
    <rPh sb="0" eb="2">
      <t>ゲッショ</t>
    </rPh>
    <rPh sb="2" eb="4">
      <t>ゲンキン</t>
    </rPh>
    <rPh sb="4" eb="6">
      <t>ザンダカ</t>
    </rPh>
    <phoneticPr fontId="3"/>
  </si>
  <si>
    <t>入金</t>
    <rPh sb="0" eb="2">
      <t>ニュウキン</t>
    </rPh>
    <phoneticPr fontId="3"/>
  </si>
  <si>
    <t>仕入支払</t>
    <rPh sb="0" eb="2">
      <t>シイレ</t>
    </rPh>
    <rPh sb="2" eb="4">
      <t>シハライ</t>
    </rPh>
    <phoneticPr fontId="3"/>
  </si>
  <si>
    <t>人件費</t>
    <rPh sb="0" eb="3">
      <t>ジンケンヒ</t>
    </rPh>
    <phoneticPr fontId="3"/>
  </si>
  <si>
    <t>営業経費</t>
    <rPh sb="0" eb="2">
      <t>エイギョウ</t>
    </rPh>
    <rPh sb="2" eb="4">
      <t>ケイヒ</t>
    </rPh>
    <phoneticPr fontId="3"/>
  </si>
  <si>
    <t>借入金返済</t>
    <phoneticPr fontId="3"/>
  </si>
  <si>
    <t>税金・社会保険料</t>
    <phoneticPr fontId="3"/>
  </si>
  <si>
    <t>その他支払経費</t>
    <phoneticPr fontId="3"/>
  </si>
  <si>
    <t>支出合計</t>
    <rPh sb="0" eb="2">
      <t>シシュツ</t>
    </rPh>
    <rPh sb="2" eb="4">
      <t>ゴウケイ</t>
    </rPh>
    <phoneticPr fontId="3"/>
  </si>
  <si>
    <t>当月収支</t>
    <rPh sb="0" eb="2">
      <t>トウゲツ</t>
    </rPh>
    <rPh sb="2" eb="4">
      <t>シュウシ</t>
    </rPh>
    <phoneticPr fontId="3"/>
  </si>
  <si>
    <t>月末現金残高</t>
    <rPh sb="0" eb="2">
      <t>ゲツマツ</t>
    </rPh>
    <rPh sb="2" eb="4">
      <t>ゲンキン</t>
    </rPh>
    <rPh sb="4" eb="6">
      <t>ザンダカ</t>
    </rPh>
    <phoneticPr fontId="3"/>
  </si>
  <si>
    <t>現金</t>
    <rPh sb="0" eb="2">
      <t>ゲンキン</t>
    </rPh>
    <phoneticPr fontId="3"/>
  </si>
  <si>
    <t>売掛金回収</t>
    <rPh sb="0" eb="3">
      <t>ウリカケキン</t>
    </rPh>
    <rPh sb="3" eb="5">
      <t>カイシュウ</t>
    </rPh>
    <phoneticPr fontId="3"/>
  </si>
  <si>
    <t>ヶ月</t>
    <rPh sb="1" eb="2">
      <t>ゲツ</t>
    </rPh>
    <phoneticPr fontId="3"/>
  </si>
  <si>
    <t>買掛金支払</t>
    <rPh sb="0" eb="1">
      <t>カ</t>
    </rPh>
    <rPh sb="1" eb="2">
      <t>カ</t>
    </rPh>
    <rPh sb="2" eb="3">
      <t>キン</t>
    </rPh>
    <rPh sb="3" eb="5">
      <t>シハライ</t>
    </rPh>
    <phoneticPr fontId="3"/>
  </si>
  <si>
    <t>手形回収</t>
    <rPh sb="0" eb="2">
      <t>テガタ</t>
    </rPh>
    <rPh sb="2" eb="4">
      <t>カイシュウ</t>
    </rPh>
    <phoneticPr fontId="3"/>
  </si>
  <si>
    <t>手形支払</t>
    <rPh sb="0" eb="2">
      <t>テガタ</t>
    </rPh>
    <rPh sb="2" eb="4">
      <t>シハライ</t>
    </rPh>
    <phoneticPr fontId="3"/>
  </si>
  <si>
    <t>今後6ヶ月の売上・仕入・外注費・労務費の予定金額を教えて下さい。</t>
    <rPh sb="0" eb="2">
      <t>コンゴ</t>
    </rPh>
    <rPh sb="4" eb="5">
      <t>ゲツ</t>
    </rPh>
    <rPh sb="6" eb="8">
      <t>ウリアゲ</t>
    </rPh>
    <rPh sb="9" eb="11">
      <t>シイレ</t>
    </rPh>
    <rPh sb="12" eb="15">
      <t>ガイチュウヒ</t>
    </rPh>
    <rPh sb="16" eb="19">
      <t>ロウムヒ</t>
    </rPh>
    <rPh sb="20" eb="22">
      <t>ヨテイ</t>
    </rPh>
    <rPh sb="22" eb="24">
      <t>キンガク</t>
    </rPh>
    <rPh sb="25" eb="26">
      <t>オシ</t>
    </rPh>
    <rPh sb="28" eb="29">
      <t>クダ</t>
    </rPh>
    <phoneticPr fontId="3"/>
  </si>
  <si>
    <t>来月の売上・仕入・外注費・労務費の予定金額は？</t>
    <rPh sb="0" eb="2">
      <t>ライゲツ</t>
    </rPh>
    <rPh sb="3" eb="5">
      <t>ウリアゲ</t>
    </rPh>
    <rPh sb="6" eb="8">
      <t>シイレ</t>
    </rPh>
    <rPh sb="9" eb="11">
      <t>ガイチュウ</t>
    </rPh>
    <rPh sb="11" eb="12">
      <t>ヒ</t>
    </rPh>
    <rPh sb="13" eb="16">
      <t>ロウムヒ</t>
    </rPh>
    <rPh sb="17" eb="19">
      <t>ヨテイ</t>
    </rPh>
    <rPh sb="19" eb="21">
      <t>キンガク</t>
    </rPh>
    <phoneticPr fontId="3"/>
  </si>
  <si>
    <t>来月のその他製造原価や支払経費の金額は？（リース料等、設備投資額含む）</t>
    <phoneticPr fontId="3"/>
  </si>
  <si>
    <t>借入金調達</t>
    <rPh sb="3" eb="5">
      <t>チョウタツ</t>
    </rPh>
    <phoneticPr fontId="3"/>
  </si>
  <si>
    <t>資金予定表</t>
    <rPh sb="0" eb="2">
      <t>シキン</t>
    </rPh>
    <rPh sb="2" eb="4">
      <t>ヨテイ</t>
    </rPh>
    <rPh sb="4" eb="5">
      <t>ヒョウ</t>
    </rPh>
    <phoneticPr fontId="3"/>
  </si>
  <si>
    <t>注意事項</t>
    <rPh sb="0" eb="2">
      <t>チュウイ</t>
    </rPh>
    <rPh sb="2" eb="4">
      <t>ジコウ</t>
    </rPh>
    <phoneticPr fontId="3"/>
  </si>
  <si>
    <t>資金繰り予定表以前の売上及び仕入は関数の先頭もしくは末尾に実数を入力。</t>
    <rPh sb="0" eb="2">
      <t>シキン</t>
    </rPh>
    <rPh sb="2" eb="3">
      <t>グ</t>
    </rPh>
    <rPh sb="4" eb="7">
      <t>ヨテイヒョウ</t>
    </rPh>
    <rPh sb="7" eb="9">
      <t>イゼン</t>
    </rPh>
    <rPh sb="10" eb="12">
      <t>ウリアゲ</t>
    </rPh>
    <rPh sb="12" eb="13">
      <t>オヨ</t>
    </rPh>
    <rPh sb="14" eb="16">
      <t>シイレ</t>
    </rPh>
    <rPh sb="17" eb="19">
      <t>カンスウ</t>
    </rPh>
    <rPh sb="20" eb="22">
      <t>セントウ</t>
    </rPh>
    <rPh sb="26" eb="28">
      <t>マツビ</t>
    </rPh>
    <rPh sb="29" eb="31">
      <t>ジッスウ</t>
    </rPh>
    <rPh sb="32" eb="34">
      <t>ニュウリョク</t>
    </rPh>
    <phoneticPr fontId="3"/>
  </si>
  <si>
    <t>数値は経営者へのヒアリング等で確認してください。</t>
    <rPh sb="0" eb="2">
      <t>スウチ</t>
    </rPh>
    <rPh sb="3" eb="6">
      <t>ケイエイシャ</t>
    </rPh>
    <rPh sb="13" eb="14">
      <t>ナド</t>
    </rPh>
    <rPh sb="15" eb="17">
      <t>カクニン</t>
    </rPh>
    <phoneticPr fontId="3"/>
  </si>
  <si>
    <t>現金での仕入は月次仕入のおおよそ何％ですか？</t>
    <rPh sb="0" eb="2">
      <t>ゲンキン</t>
    </rPh>
    <rPh sb="4" eb="6">
      <t>シイレ</t>
    </rPh>
    <rPh sb="7" eb="9">
      <t>ゲツジ</t>
    </rPh>
    <rPh sb="9" eb="11">
      <t>シイ</t>
    </rPh>
    <rPh sb="16" eb="17">
      <t>ナン</t>
    </rPh>
    <phoneticPr fontId="3"/>
  </si>
  <si>
    <t>仕入の支払方法と入金までの期間を教えて下さい。複数者取引がある場合は、原則平均。算出困難な場合は主要先の条件を教えてください。</t>
    <rPh sb="0" eb="2">
      <t>シイレ</t>
    </rPh>
    <rPh sb="3" eb="5">
      <t>シハライ</t>
    </rPh>
    <rPh sb="5" eb="7">
      <t>ホウホウ</t>
    </rPh>
    <rPh sb="8" eb="10">
      <t>ニュウキン</t>
    </rPh>
    <rPh sb="13" eb="15">
      <t>キカン</t>
    </rPh>
    <rPh sb="16" eb="17">
      <t>オシ</t>
    </rPh>
    <rPh sb="19" eb="20">
      <t>クダ</t>
    </rPh>
    <rPh sb="48" eb="50">
      <t>シュヨウ</t>
    </rPh>
    <rPh sb="55" eb="56">
      <t>オシ</t>
    </rPh>
    <phoneticPr fontId="3"/>
  </si>
  <si>
    <t>売上の回収方法と入金までの期間を教えて下さい。複数取引がある場合は原則平均ですが、算出困難な場合は主要先の条件を教えてください。</t>
    <rPh sb="0" eb="2">
      <t>ウリアゲ</t>
    </rPh>
    <rPh sb="3" eb="5">
      <t>カイシュウ</t>
    </rPh>
    <rPh sb="5" eb="7">
      <t>ホウホウ</t>
    </rPh>
    <rPh sb="8" eb="10">
      <t>ニュウキン</t>
    </rPh>
    <rPh sb="13" eb="15">
      <t>キカン</t>
    </rPh>
    <rPh sb="16" eb="17">
      <t>オシ</t>
    </rPh>
    <rPh sb="19" eb="20">
      <t>クダ</t>
    </rPh>
    <rPh sb="33" eb="35">
      <t>ゲンソク</t>
    </rPh>
    <rPh sb="49" eb="51">
      <t>シュヨウ</t>
    </rPh>
    <rPh sb="51" eb="52">
      <t>サキ</t>
    </rPh>
    <rPh sb="53" eb="55">
      <t>ジョウケン</t>
    </rPh>
    <rPh sb="56" eb="57">
      <t>オシ</t>
    </rPh>
    <phoneticPr fontId="3"/>
  </si>
  <si>
    <t>来月の税金・社会保険料の金額は？（6ヶ月以内に支払う消費税等も加味し、平準化した金額を入力）</t>
    <phoneticPr fontId="3"/>
  </si>
  <si>
    <t>現金での売上は月次売上のおおよそ何％ですか？</t>
    <rPh sb="0" eb="2">
      <t>ゲンキン</t>
    </rPh>
    <rPh sb="4" eb="6">
      <t>ウリアゲ</t>
    </rPh>
    <rPh sb="7" eb="8">
      <t>ツキ</t>
    </rPh>
    <rPh sb="8" eb="9">
      <t>ジ</t>
    </rPh>
    <rPh sb="9" eb="11">
      <t>ウリアゲ</t>
    </rPh>
    <rPh sb="16" eb="17">
      <t>ナン</t>
    </rPh>
    <phoneticPr fontId="3"/>
  </si>
  <si>
    <t>売掛金での売上は月次売上のおおよそ何％ですか？　　販売やサービスの提供から何ヶ月後の入金が多いですか？</t>
    <rPh sb="0" eb="2">
      <t>ウリカケ</t>
    </rPh>
    <rPh sb="2" eb="3">
      <t>キン</t>
    </rPh>
    <rPh sb="5" eb="7">
      <t>ウリアゲ</t>
    </rPh>
    <rPh sb="8" eb="10">
      <t>ゲツジ</t>
    </rPh>
    <rPh sb="10" eb="12">
      <t>ウリアゲ</t>
    </rPh>
    <rPh sb="25" eb="27">
      <t>ハンバイ</t>
    </rPh>
    <rPh sb="33" eb="35">
      <t>テイキョウ</t>
    </rPh>
    <rPh sb="37" eb="41">
      <t>ナンカゲツゴ</t>
    </rPh>
    <rPh sb="42" eb="44">
      <t>ニュウキン</t>
    </rPh>
    <rPh sb="45" eb="46">
      <t>オオ</t>
    </rPh>
    <phoneticPr fontId="3"/>
  </si>
  <si>
    <t>受取手形での売上は月次売上のおおよそ何％ですか？　販売やサービスの提供から何ヶ月後の入金が多いですか？</t>
    <rPh sb="0" eb="1">
      <t>ウ</t>
    </rPh>
    <rPh sb="1" eb="2">
      <t>ト</t>
    </rPh>
    <rPh sb="2" eb="4">
      <t>テガタ</t>
    </rPh>
    <rPh sb="6" eb="8">
      <t>ウリアゲ</t>
    </rPh>
    <rPh sb="9" eb="11">
      <t>ゲツジ</t>
    </rPh>
    <rPh sb="11" eb="13">
      <t>ウリアゲ</t>
    </rPh>
    <rPh sb="25" eb="27">
      <t>ハンバイ</t>
    </rPh>
    <rPh sb="33" eb="35">
      <t>テイキョウ</t>
    </rPh>
    <rPh sb="37" eb="41">
      <t>ナンカゲツゴ</t>
    </rPh>
    <rPh sb="42" eb="44">
      <t>ニュウキン</t>
    </rPh>
    <rPh sb="45" eb="46">
      <t>オオ</t>
    </rPh>
    <phoneticPr fontId="3"/>
  </si>
  <si>
    <t>買掛金での仕入は月次仕入のおおよそ何％ですか？　　仕入から買掛金の支払までは何ヶ月後が多いですか？</t>
    <rPh sb="0" eb="3">
      <t>カイカケキン</t>
    </rPh>
    <rPh sb="5" eb="7">
      <t>シイレ</t>
    </rPh>
    <rPh sb="8" eb="10">
      <t>ゲツジ</t>
    </rPh>
    <rPh sb="10" eb="12">
      <t>シイ</t>
    </rPh>
    <rPh sb="25" eb="27">
      <t>シイ</t>
    </rPh>
    <rPh sb="29" eb="32">
      <t>カイカケキン</t>
    </rPh>
    <rPh sb="33" eb="35">
      <t>シハラ</t>
    </rPh>
    <rPh sb="38" eb="42">
      <t>ナンカゲツゴ</t>
    </rPh>
    <rPh sb="43" eb="44">
      <t>オオ</t>
    </rPh>
    <phoneticPr fontId="3"/>
  </si>
  <si>
    <t>支払手形での仕入は月次仕入のおおよそ何％ですか？　仕入から支払手形の期日までは何ヶ月後が多いですか？</t>
    <rPh sb="0" eb="2">
      <t>シハライ</t>
    </rPh>
    <rPh sb="2" eb="4">
      <t>テガタ</t>
    </rPh>
    <rPh sb="6" eb="8">
      <t>シイレ</t>
    </rPh>
    <rPh sb="9" eb="11">
      <t>ゲツジ</t>
    </rPh>
    <rPh sb="11" eb="13">
      <t>シイ</t>
    </rPh>
    <rPh sb="25" eb="27">
      <t>シイ</t>
    </rPh>
    <rPh sb="29" eb="31">
      <t>シハライ</t>
    </rPh>
    <rPh sb="31" eb="33">
      <t>テガタ</t>
    </rPh>
    <rPh sb="34" eb="36">
      <t>キジツ</t>
    </rPh>
    <rPh sb="39" eb="43">
      <t>ナンカゲツゴ</t>
    </rPh>
    <rPh sb="44" eb="45">
      <t>オオ</t>
    </rPh>
    <phoneticPr fontId="3"/>
  </si>
  <si>
    <t>3か月後は？</t>
    <rPh sb="2" eb="4">
      <t>ゲツゴ</t>
    </rPh>
    <phoneticPr fontId="3"/>
  </si>
  <si>
    <t>4か月後は？</t>
    <rPh sb="2" eb="4">
      <t>ゲツゴ</t>
    </rPh>
    <phoneticPr fontId="3"/>
  </si>
  <si>
    <t>5か月後は？</t>
    <rPh sb="2" eb="4">
      <t>ゲツゴ</t>
    </rPh>
    <phoneticPr fontId="3"/>
  </si>
  <si>
    <t>4ヵ月後は？</t>
    <rPh sb="2" eb="3">
      <t>ゲツ</t>
    </rPh>
    <rPh sb="3" eb="4">
      <t>ゴ</t>
    </rPh>
    <phoneticPr fontId="3"/>
  </si>
  <si>
    <t>2か月後払いは？</t>
    <rPh sb="2" eb="4">
      <t>ゲツゴ</t>
    </rPh>
    <rPh sb="4" eb="5">
      <t>ハラ</t>
    </rPh>
    <phoneticPr fontId="3"/>
  </si>
  <si>
    <t>2か月後は？</t>
    <rPh sb="2" eb="4">
      <t>ゲツゴ</t>
    </rPh>
    <phoneticPr fontId="3"/>
  </si>
  <si>
    <t>販売やサービスの提供から1か月後の入金はおおよそ何％？</t>
    <rPh sb="0" eb="2">
      <t>ハンバイ</t>
    </rPh>
    <rPh sb="8" eb="10">
      <t>テイキョウ</t>
    </rPh>
    <rPh sb="14" eb="16">
      <t>ゲツゴ</t>
    </rPh>
    <rPh sb="17" eb="19">
      <t>ニュウキン</t>
    </rPh>
    <rPh sb="24" eb="25">
      <t>ナン</t>
    </rPh>
    <phoneticPr fontId="3"/>
  </si>
  <si>
    <t>当月に仕入れて、その翌月での支払はおおよそ何％？</t>
    <rPh sb="0" eb="2">
      <t>トウゲツ</t>
    </rPh>
    <rPh sb="3" eb="5">
      <t>シイレ</t>
    </rPh>
    <rPh sb="10" eb="12">
      <t>ヨクゲツ</t>
    </rPh>
    <rPh sb="14" eb="16">
      <t>シハラ</t>
    </rPh>
    <rPh sb="21" eb="22">
      <t>ナン</t>
    </rPh>
    <phoneticPr fontId="3"/>
  </si>
  <si>
    <t>販売やサービスの提供を行い同月内での入金はおおよそ何％？</t>
    <rPh sb="0" eb="2">
      <t>ハンバイ</t>
    </rPh>
    <rPh sb="8" eb="10">
      <t>テイキョウ</t>
    </rPh>
    <rPh sb="11" eb="12">
      <t>オコナ</t>
    </rPh>
    <rPh sb="13" eb="15">
      <t>ドウゲツ</t>
    </rPh>
    <rPh sb="15" eb="16">
      <t>ナイ</t>
    </rPh>
    <rPh sb="18" eb="20">
      <t>ニュウキン</t>
    </rPh>
    <rPh sb="25" eb="27">
      <t>ナンパーセント</t>
    </rPh>
    <phoneticPr fontId="3"/>
  </si>
  <si>
    <t>当月に仕入れて、同月内での支払はおおよそ何％？</t>
    <rPh sb="0" eb="2">
      <t>トウゲツ</t>
    </rPh>
    <rPh sb="3" eb="5">
      <t>シイレ</t>
    </rPh>
    <rPh sb="8" eb="10">
      <t>ドウゲツ</t>
    </rPh>
    <rPh sb="10" eb="11">
      <t>ナイ</t>
    </rPh>
    <rPh sb="13" eb="15">
      <t>シハラ</t>
    </rPh>
    <rPh sb="20" eb="21">
      <t>ナン</t>
    </rPh>
    <phoneticPr fontId="3"/>
  </si>
  <si>
    <t>※前月以前取引分入金・支払</t>
    <rPh sb="1" eb="3">
      <t>ゼンゲツ</t>
    </rPh>
    <rPh sb="3" eb="5">
      <t>イゼン</t>
    </rPh>
    <rPh sb="5" eb="7">
      <t>トリヒキ</t>
    </rPh>
    <rPh sb="7" eb="8">
      <t>ブン</t>
    </rPh>
    <rPh sb="8" eb="10">
      <t>ニュウキン</t>
    </rPh>
    <rPh sb="11" eb="13">
      <t>シハラ</t>
    </rPh>
    <phoneticPr fontId="3"/>
  </si>
  <si>
    <t>手形支払</t>
    <rPh sb="0" eb="2">
      <t>テガタ</t>
    </rPh>
    <rPh sb="2" eb="4">
      <t>シハラ</t>
    </rPh>
    <phoneticPr fontId="3"/>
  </si>
  <si>
    <t>追加</t>
    <rPh sb="0" eb="2">
      <t>ツイカ</t>
    </rPh>
    <phoneticPr fontId="3"/>
  </si>
  <si>
    <t>来月のリース料、設備投資の金額は？</t>
    <rPh sb="13" eb="15">
      <t>キンガク</t>
    </rPh>
    <phoneticPr fontId="3"/>
  </si>
  <si>
    <t>経常収支</t>
    <rPh sb="0" eb="2">
      <t>ケイジョウ</t>
    </rPh>
    <rPh sb="2" eb="4">
      <t>シュウシ</t>
    </rPh>
    <phoneticPr fontId="3"/>
  </si>
  <si>
    <t>経常支出</t>
    <rPh sb="0" eb="2">
      <t>ケイジョウ</t>
    </rPh>
    <rPh sb="2" eb="4">
      <t>シシュツ</t>
    </rPh>
    <phoneticPr fontId="3"/>
  </si>
  <si>
    <t>直近2ヶ月の売上・仕入の金額を教えて下さい。</t>
    <rPh sb="0" eb="2">
      <t>チョッキン</t>
    </rPh>
    <rPh sb="4" eb="5">
      <t>ゲツ</t>
    </rPh>
    <rPh sb="6" eb="8">
      <t>ウリアゲ</t>
    </rPh>
    <rPh sb="9" eb="11">
      <t>シイレ</t>
    </rPh>
    <rPh sb="12" eb="14">
      <t>キンガク</t>
    </rPh>
    <rPh sb="15" eb="16">
      <t>オシ</t>
    </rPh>
    <rPh sb="18" eb="19">
      <t>クダ</t>
    </rPh>
    <phoneticPr fontId="3"/>
  </si>
  <si>
    <t>仕入支払</t>
    <rPh sb="0" eb="2">
      <t>シイ</t>
    </rPh>
    <rPh sb="2" eb="4">
      <t>シハラ</t>
    </rPh>
    <phoneticPr fontId="3"/>
  </si>
  <si>
    <t>2ヶ月前は？</t>
    <rPh sb="3" eb="4">
      <t>マエ</t>
    </rPh>
    <phoneticPr fontId="3"/>
  </si>
  <si>
    <t>1ヶ月前は？</t>
    <rPh sb="3" eb="4">
      <t>マエ</t>
    </rPh>
    <phoneticPr fontId="3"/>
  </si>
  <si>
    <t>2ヶ月前実績</t>
    <rPh sb="2" eb="3">
      <t>ゲツ</t>
    </rPh>
    <rPh sb="3" eb="4">
      <t>マエ</t>
    </rPh>
    <rPh sb="4" eb="6">
      <t>ジッセキ</t>
    </rPh>
    <phoneticPr fontId="3"/>
  </si>
  <si>
    <t>１ヶ月前実績</t>
    <rPh sb="2" eb="3">
      <t>ゲツ</t>
    </rPh>
    <rPh sb="3" eb="4">
      <t>マエ</t>
    </rPh>
    <rPh sb="4" eb="6">
      <t>ジッセキ</t>
    </rPh>
    <phoneticPr fontId="3"/>
  </si>
  <si>
    <t>1カ月後入金</t>
    <rPh sb="2" eb="4">
      <t>ゲツゴ</t>
    </rPh>
    <rPh sb="4" eb="6">
      <t>ニュウキン</t>
    </rPh>
    <phoneticPr fontId="3"/>
  </si>
  <si>
    <t>2カ月後入金</t>
    <rPh sb="2" eb="4">
      <t>ゲツゴ</t>
    </rPh>
    <rPh sb="4" eb="6">
      <t>ニュウキン</t>
    </rPh>
    <phoneticPr fontId="3"/>
  </si>
  <si>
    <t>3カ月後入金</t>
    <rPh sb="2" eb="4">
      <t>ゲツゴ</t>
    </rPh>
    <rPh sb="4" eb="6">
      <t>ニュウキン</t>
    </rPh>
    <phoneticPr fontId="3"/>
  </si>
  <si>
    <t>4カ月後入金</t>
    <rPh sb="2" eb="4">
      <t>ゲツゴ</t>
    </rPh>
    <rPh sb="4" eb="6">
      <t>ニュウキン</t>
    </rPh>
    <phoneticPr fontId="3"/>
  </si>
  <si>
    <t>5カ月後入金</t>
    <rPh sb="2" eb="4">
      <t>ゲツゴ</t>
    </rPh>
    <rPh sb="4" eb="6">
      <t>ニュウキン</t>
    </rPh>
    <phoneticPr fontId="3"/>
  </si>
  <si>
    <t>6カ月後入金</t>
    <rPh sb="2" eb="4">
      <t>ゲツゴ</t>
    </rPh>
    <rPh sb="4" eb="6">
      <t>ニュウキン</t>
    </rPh>
    <phoneticPr fontId="3"/>
  </si>
  <si>
    <t>1カ月後支払</t>
    <rPh sb="2" eb="4">
      <t>ゲツゴ</t>
    </rPh>
    <rPh sb="4" eb="6">
      <t>シハラ</t>
    </rPh>
    <phoneticPr fontId="3"/>
  </si>
  <si>
    <t>2カ月後支払</t>
    <rPh sb="2" eb="4">
      <t>ゲツゴ</t>
    </rPh>
    <rPh sb="4" eb="6">
      <t>シハラ</t>
    </rPh>
    <phoneticPr fontId="3"/>
  </si>
  <si>
    <t>3カ月後支払</t>
    <rPh sb="2" eb="4">
      <t>ゲツゴ</t>
    </rPh>
    <rPh sb="4" eb="6">
      <t>シハラ</t>
    </rPh>
    <phoneticPr fontId="3"/>
  </si>
  <si>
    <t>4カ月後支払</t>
    <rPh sb="2" eb="4">
      <t>ゲツゴ</t>
    </rPh>
    <rPh sb="4" eb="6">
      <t>シハラ</t>
    </rPh>
    <phoneticPr fontId="3"/>
  </si>
  <si>
    <t>5カ月後支払</t>
    <rPh sb="2" eb="4">
      <t>ゲツゴ</t>
    </rPh>
    <rPh sb="4" eb="6">
      <t>シハラ</t>
    </rPh>
    <phoneticPr fontId="3"/>
  </si>
  <si>
    <t>6カ月後支払</t>
    <rPh sb="2" eb="4">
      <t>ゲツゴ</t>
    </rPh>
    <rPh sb="4" eb="6">
      <t>シハラ</t>
    </rPh>
    <phoneticPr fontId="3"/>
  </si>
  <si>
    <t>R3/4</t>
    <phoneticPr fontId="3"/>
  </si>
  <si>
    <t>以前掛取引分</t>
    <rPh sb="0" eb="2">
      <t>イゼン</t>
    </rPh>
    <rPh sb="2" eb="3">
      <t>カ</t>
    </rPh>
    <rPh sb="3" eb="5">
      <t>トリヒキ</t>
    </rPh>
    <rPh sb="5" eb="6">
      <t>ブン</t>
    </rPh>
    <phoneticPr fontId="3"/>
  </si>
  <si>
    <t>割引手形</t>
    <rPh sb="0" eb="2">
      <t>ワリビキ</t>
    </rPh>
    <rPh sb="2" eb="4">
      <t>テガタ</t>
    </rPh>
    <phoneticPr fontId="3"/>
  </si>
  <si>
    <t>今後追加予定</t>
    <rPh sb="0" eb="2">
      <t>コンゴ</t>
    </rPh>
    <rPh sb="2" eb="4">
      <t>ツイカ</t>
    </rPh>
    <rPh sb="4" eb="6">
      <t>ヨテイ</t>
    </rPh>
    <phoneticPr fontId="3"/>
  </si>
  <si>
    <t>設備投資</t>
    <rPh sb="0" eb="2">
      <t>セツビ</t>
    </rPh>
    <rPh sb="2" eb="4">
      <t>トウシ</t>
    </rPh>
    <phoneticPr fontId="3"/>
  </si>
  <si>
    <t>来月の設備投資は？</t>
    <rPh sb="0" eb="2">
      <t>ライゲツ</t>
    </rPh>
    <rPh sb="3" eb="5">
      <t>セツビ</t>
    </rPh>
    <rPh sb="5" eb="7">
      <t>トウシ</t>
    </rPh>
    <phoneticPr fontId="3"/>
  </si>
  <si>
    <t>その他収入</t>
    <rPh sb="2" eb="3">
      <t>タ</t>
    </rPh>
    <rPh sb="3" eb="5">
      <t>シュウニュウ</t>
    </rPh>
    <phoneticPr fontId="3"/>
  </si>
  <si>
    <t>経常収入</t>
    <rPh sb="0" eb="2">
      <t>ケイジョウ</t>
    </rPh>
    <rPh sb="2" eb="4">
      <t>シュウニュウ</t>
    </rPh>
    <phoneticPr fontId="3"/>
  </si>
  <si>
    <t>リース・利息・その他</t>
    <rPh sb="4" eb="6">
      <t>リソク</t>
    </rPh>
    <rPh sb="9" eb="10">
      <t>タ</t>
    </rPh>
    <phoneticPr fontId="3"/>
  </si>
  <si>
    <t>財務収支他</t>
    <rPh sb="0" eb="2">
      <t>ザイム</t>
    </rPh>
    <rPh sb="2" eb="4">
      <t>シュウシ</t>
    </rPh>
    <rPh sb="4" eb="5">
      <t>ホカ</t>
    </rPh>
    <phoneticPr fontId="3"/>
  </si>
  <si>
    <t>仕入れから30日以内の支払はおおよそ何％？</t>
    <rPh sb="0" eb="2">
      <t>シイレ</t>
    </rPh>
    <rPh sb="7" eb="8">
      <t>ニチ</t>
    </rPh>
    <rPh sb="8" eb="10">
      <t>イナイ</t>
    </rPh>
    <rPh sb="11" eb="13">
      <t>シハラ</t>
    </rPh>
    <rPh sb="18" eb="19">
      <t>ナン</t>
    </rPh>
    <phoneticPr fontId="3"/>
  </si>
  <si>
    <t>仕入から31日～60日以内での支払はおおよそ何％？</t>
    <rPh sb="0" eb="2">
      <t>シイレ</t>
    </rPh>
    <rPh sb="6" eb="7">
      <t>ニチ</t>
    </rPh>
    <rPh sb="10" eb="11">
      <t>ニチ</t>
    </rPh>
    <rPh sb="11" eb="13">
      <t>イナイ</t>
    </rPh>
    <rPh sb="15" eb="17">
      <t>シハラ</t>
    </rPh>
    <rPh sb="22" eb="23">
      <t>ナン</t>
    </rPh>
    <phoneticPr fontId="3"/>
  </si>
  <si>
    <t>3か月後は？（91日～120日以内）</t>
    <rPh sb="2" eb="4">
      <t>ゲツゴ</t>
    </rPh>
    <rPh sb="9" eb="10">
      <t>ニチ</t>
    </rPh>
    <rPh sb="14" eb="15">
      <t>ニチ</t>
    </rPh>
    <rPh sb="15" eb="17">
      <t>イナイ</t>
    </rPh>
    <phoneticPr fontId="3"/>
  </si>
  <si>
    <t>2か月後は？（61日～90日以内）</t>
    <rPh sb="2" eb="4">
      <t>ゲツゴ</t>
    </rPh>
    <rPh sb="9" eb="10">
      <t>ニチ</t>
    </rPh>
    <rPh sb="13" eb="14">
      <t>ニチ</t>
    </rPh>
    <rPh sb="14" eb="16">
      <t>イナイ</t>
    </rPh>
    <phoneticPr fontId="3"/>
  </si>
  <si>
    <t>4か月後は？（121日～150日以内）</t>
    <rPh sb="2" eb="4">
      <t>ゲツゴ</t>
    </rPh>
    <rPh sb="10" eb="11">
      <t>ニチ</t>
    </rPh>
    <rPh sb="15" eb="16">
      <t>ニチ</t>
    </rPh>
    <rPh sb="16" eb="18">
      <t>イナイ</t>
    </rPh>
    <phoneticPr fontId="3"/>
  </si>
  <si>
    <t>5か月後は？（151日以上）</t>
    <rPh sb="2" eb="4">
      <t>ゲツゴ</t>
    </rPh>
    <rPh sb="10" eb="11">
      <t>ニチ</t>
    </rPh>
    <rPh sb="11" eb="13">
      <t>イジョウ</t>
    </rPh>
    <phoneticPr fontId="3"/>
  </si>
  <si>
    <t>4ヵ月後は？（121日～150日以内）</t>
    <rPh sb="2" eb="3">
      <t>ゲツ</t>
    </rPh>
    <rPh sb="3" eb="4">
      <t>ゴ</t>
    </rPh>
    <rPh sb="10" eb="11">
      <t>ニチ</t>
    </rPh>
    <rPh sb="15" eb="16">
      <t>ニチ</t>
    </rPh>
    <rPh sb="16" eb="18">
      <t>イナイ</t>
    </rPh>
    <phoneticPr fontId="3"/>
  </si>
  <si>
    <t>来月のその他支出の金額は？（リース料、支払利息、その他支出等）</t>
    <rPh sb="5" eb="6">
      <t>タ</t>
    </rPh>
    <rPh sb="6" eb="8">
      <t>シシュツ</t>
    </rPh>
    <rPh sb="9" eb="11">
      <t>キンガク</t>
    </rPh>
    <rPh sb="19" eb="21">
      <t>シハライ</t>
    </rPh>
    <rPh sb="21" eb="23">
      <t>リソク</t>
    </rPh>
    <rPh sb="26" eb="27">
      <t>タ</t>
    </rPh>
    <rPh sb="27" eb="29">
      <t>シシュツ</t>
    </rPh>
    <rPh sb="29" eb="30">
      <t>ナド</t>
    </rPh>
    <phoneticPr fontId="3"/>
  </si>
  <si>
    <t>販売やサービスの提供から31日から60日以内の回収はおおよそ何％？</t>
    <rPh sb="0" eb="2">
      <t>ハンバイ</t>
    </rPh>
    <rPh sb="8" eb="10">
      <t>テイキョウ</t>
    </rPh>
    <rPh sb="14" eb="15">
      <t>ニチ</t>
    </rPh>
    <rPh sb="19" eb="20">
      <t>ニチ</t>
    </rPh>
    <rPh sb="20" eb="22">
      <t>イナイ</t>
    </rPh>
    <rPh sb="23" eb="25">
      <t>カイシュウ</t>
    </rPh>
    <rPh sb="30" eb="31">
      <t>ナン</t>
    </rPh>
    <phoneticPr fontId="3"/>
  </si>
  <si>
    <t>販売やサービスの提供から30日以内の回収はおおよそ何％？</t>
    <rPh sb="0" eb="2">
      <t>ハンバイ</t>
    </rPh>
    <rPh sb="8" eb="10">
      <t>テイキョウ</t>
    </rPh>
    <rPh sb="14" eb="15">
      <t>ニチ</t>
    </rPh>
    <rPh sb="15" eb="17">
      <t>イナイ</t>
    </rPh>
    <rPh sb="18" eb="20">
      <t>カイシュウ</t>
    </rPh>
    <rPh sb="25" eb="26">
      <t>ナニ</t>
    </rPh>
    <phoneticPr fontId="3"/>
  </si>
  <si>
    <t>≪現預金≫</t>
    <rPh sb="1" eb="4">
      <t>ゲンヨキン</t>
    </rPh>
    <phoneticPr fontId="3"/>
  </si>
  <si>
    <t>≪売上・仕入≫</t>
    <rPh sb="1" eb="3">
      <t>ウリアゲ</t>
    </rPh>
    <rPh sb="4" eb="6">
      <t>シイレ</t>
    </rPh>
    <phoneticPr fontId="3"/>
  </si>
  <si>
    <t>≪財務支出他≫</t>
    <rPh sb="1" eb="3">
      <t>ザイム</t>
    </rPh>
    <rPh sb="3" eb="5">
      <t>シシュツ</t>
    </rPh>
    <rPh sb="5" eb="6">
      <t>ホカ</t>
    </rPh>
    <phoneticPr fontId="3"/>
  </si>
  <si>
    <t>≪経常支出≫</t>
    <rPh sb="1" eb="3">
      <t>ケイジョウ</t>
    </rPh>
    <rPh sb="3" eb="5">
      <t>シシュツ</t>
    </rPh>
    <phoneticPr fontId="3"/>
  </si>
  <si>
    <t>≪支払期間≫</t>
    <rPh sb="1" eb="3">
      <t>シハライ</t>
    </rPh>
    <rPh sb="3" eb="5">
      <t>キカン</t>
    </rPh>
    <phoneticPr fontId="3"/>
  </si>
  <si>
    <t>≪回収期間≫</t>
    <rPh sb="1" eb="3">
      <t>カイシュウ</t>
    </rPh>
    <rPh sb="3" eb="5">
      <t>キカン</t>
    </rPh>
    <phoneticPr fontId="3"/>
  </si>
  <si>
    <t>来月支払予定について、教えて下さい。</t>
    <rPh sb="0" eb="2">
      <t>ライゲツ</t>
    </rPh>
    <rPh sb="2" eb="4">
      <t>シハライ</t>
    </rPh>
    <rPh sb="4" eb="6">
      <t>ヨテイ</t>
    </rPh>
    <rPh sb="11" eb="12">
      <t>オシ</t>
    </rPh>
    <rPh sb="14" eb="15">
      <t>クダ</t>
    </rPh>
    <phoneticPr fontId="3"/>
  </si>
  <si>
    <t>来月の営業経費の金額は？（販売管理費における人件費、リース代を除く）</t>
    <rPh sb="0" eb="2">
      <t>ライゲツ</t>
    </rPh>
    <rPh sb="3" eb="5">
      <t>エイギョウ</t>
    </rPh>
    <rPh sb="5" eb="7">
      <t>ケイヒ</t>
    </rPh>
    <rPh sb="8" eb="10">
      <t>キンガク</t>
    </rPh>
    <rPh sb="13" eb="15">
      <t>ハンバイ</t>
    </rPh>
    <rPh sb="15" eb="18">
      <t>カンリヒ</t>
    </rPh>
    <rPh sb="22" eb="25">
      <t>ジンケンヒ</t>
    </rPh>
    <rPh sb="29" eb="30">
      <t>ダイ</t>
    </rPh>
    <rPh sb="31" eb="32">
      <t>ノゾ</t>
    </rPh>
    <phoneticPr fontId="3"/>
  </si>
  <si>
    <t>≪実績≫</t>
    <rPh sb="1" eb="3">
      <t>ジッセキ</t>
    </rPh>
    <phoneticPr fontId="3"/>
  </si>
  <si>
    <t>≪営業外収入≫</t>
    <rPh sb="1" eb="4">
      <t>エイギョウガイ</t>
    </rPh>
    <rPh sb="4" eb="6">
      <t>シュウニュウ</t>
    </rPh>
    <phoneticPr fontId="3"/>
  </si>
  <si>
    <t>月初現預金残高</t>
    <rPh sb="0" eb="2">
      <t>ゲッショ</t>
    </rPh>
    <rPh sb="2" eb="5">
      <t>ゲンヨキン</t>
    </rPh>
    <rPh sb="5" eb="7">
      <t>ザンダカ</t>
    </rPh>
    <phoneticPr fontId="3"/>
  </si>
  <si>
    <t>月末現預金残高</t>
    <rPh sb="0" eb="2">
      <t>ゲツマツ</t>
    </rPh>
    <rPh sb="2" eb="5">
      <t>ゲンヨキン</t>
    </rPh>
    <rPh sb="5" eb="7">
      <t>ザンダカ</t>
    </rPh>
    <phoneticPr fontId="3"/>
  </si>
  <si>
    <t>減価償却費</t>
    <rPh sb="0" eb="2">
      <t>ゲンカ</t>
    </rPh>
    <rPh sb="2" eb="4">
      <t>ショウキャク</t>
    </rPh>
    <rPh sb="4" eb="5">
      <t>ヒ</t>
    </rPh>
    <phoneticPr fontId="3"/>
  </si>
  <si>
    <t>構成比(%)</t>
    <rPh sb="0" eb="3">
      <t>コウセイヒ</t>
    </rPh>
    <phoneticPr fontId="3"/>
  </si>
  <si>
    <t>本業以外の収入を教えてください。（助成金等）</t>
    <rPh sb="0" eb="2">
      <t>ホンギョウ</t>
    </rPh>
    <rPh sb="2" eb="4">
      <t>イガイ</t>
    </rPh>
    <rPh sb="5" eb="7">
      <t>シュウニュウ</t>
    </rPh>
    <rPh sb="8" eb="9">
      <t>オシ</t>
    </rPh>
    <rPh sb="17" eb="20">
      <t>ジョセイキン</t>
    </rPh>
    <rPh sb="20" eb="21">
      <t>ナド</t>
    </rPh>
    <phoneticPr fontId="3"/>
  </si>
  <si>
    <t>今後6ヶ月の売上・仕入の予定金額を教えてください。</t>
    <rPh sb="0" eb="2">
      <t>コンゴ</t>
    </rPh>
    <rPh sb="4" eb="5">
      <t>ゲツ</t>
    </rPh>
    <rPh sb="6" eb="8">
      <t>ウリアゲ</t>
    </rPh>
    <rPh sb="9" eb="11">
      <t>シイレ</t>
    </rPh>
    <rPh sb="12" eb="14">
      <t>ヨテイ</t>
    </rPh>
    <rPh sb="14" eb="16">
      <t>キンガク</t>
    </rPh>
    <rPh sb="17" eb="18">
      <t>オシ</t>
    </rPh>
    <phoneticPr fontId="3"/>
  </si>
  <si>
    <t>支払予定の経費について、教えてください。</t>
    <rPh sb="0" eb="2">
      <t>シハライ</t>
    </rPh>
    <rPh sb="2" eb="4">
      <t>ヨテイ</t>
    </rPh>
    <rPh sb="5" eb="7">
      <t>ケイヒ</t>
    </rPh>
    <rPh sb="12" eb="13">
      <t>オシ</t>
    </rPh>
    <phoneticPr fontId="3"/>
  </si>
  <si>
    <t>資金繰り予定表</t>
    <rPh sb="0" eb="2">
      <t>シキン</t>
    </rPh>
    <rPh sb="2" eb="3">
      <t>グ</t>
    </rPh>
    <rPh sb="4" eb="6">
      <t>ヨテイ</t>
    </rPh>
    <rPh sb="6" eb="7">
      <t>ヒョウ</t>
    </rPh>
    <phoneticPr fontId="3"/>
  </si>
  <si>
    <t>※</t>
    <phoneticPr fontId="3"/>
  </si>
  <si>
    <t>に数値を入力してください。</t>
    <rPh sb="1" eb="3">
      <t>スウチ</t>
    </rPh>
    <rPh sb="4" eb="6">
      <t>ニュウリョク</t>
    </rPh>
    <phoneticPr fontId="3"/>
  </si>
  <si>
    <t>その他支出</t>
    <rPh sb="2" eb="3">
      <t>タ</t>
    </rPh>
    <rPh sb="3" eb="5">
      <t>シシュツ</t>
    </rPh>
    <phoneticPr fontId="3"/>
  </si>
  <si>
    <t>資金繰り予定表作成日</t>
    <rPh sb="4" eb="6">
      <t>ヨテイ</t>
    </rPh>
    <phoneticPr fontId="3"/>
  </si>
  <si>
    <t>≪見込み≫</t>
    <rPh sb="1" eb="3">
      <t>ミコ</t>
    </rPh>
    <phoneticPr fontId="3"/>
  </si>
  <si>
    <t>末現預金</t>
    <rPh sb="0" eb="1">
      <t>マツ</t>
    </rPh>
    <rPh sb="1" eb="4">
      <t>ゲンヨキン</t>
    </rPh>
    <phoneticPr fontId="3"/>
  </si>
  <si>
    <t>売上入金</t>
    <rPh sb="0" eb="2">
      <t>ウリアゲ</t>
    </rPh>
    <rPh sb="2" eb="4">
      <t>ニュウキン</t>
    </rPh>
    <phoneticPr fontId="3"/>
  </si>
  <si>
    <t>先月末の現預金残高について、教えてください。</t>
    <rPh sb="0" eb="3">
      <t>センゲツマツ</t>
    </rPh>
    <rPh sb="4" eb="7">
      <t>ゲンヨキン</t>
    </rPh>
    <rPh sb="5" eb="7">
      <t>ヨキン</t>
    </rPh>
    <rPh sb="7" eb="9">
      <t>ザンダカ</t>
    </rPh>
    <rPh sb="14" eb="15">
      <t>オシ</t>
    </rPh>
    <phoneticPr fontId="3"/>
  </si>
  <si>
    <t>借入金返済額について、教えてください。</t>
    <rPh sb="11" eb="12">
      <t>オシ</t>
    </rPh>
    <phoneticPr fontId="3"/>
  </si>
  <si>
    <t>売上高</t>
    <rPh sb="0" eb="2">
      <t>ウリアゲ</t>
    </rPh>
    <rPh sb="2" eb="3">
      <t>タカ</t>
    </rPh>
    <phoneticPr fontId="3"/>
  </si>
  <si>
    <t>仕入高</t>
    <rPh sb="0" eb="2">
      <t>シイ</t>
    </rPh>
    <rPh sb="2" eb="3">
      <t>タカ</t>
    </rPh>
    <phoneticPr fontId="3"/>
  </si>
  <si>
    <t>合計</t>
    <rPh sb="0" eb="2">
      <t>ゴウケイ</t>
    </rPh>
    <phoneticPr fontId="3"/>
  </si>
  <si>
    <t>リース料</t>
    <rPh sb="3" eb="4">
      <t>リョウ</t>
    </rPh>
    <phoneticPr fontId="3"/>
  </si>
  <si>
    <t>借入金調達額について、教えてください。</t>
    <rPh sb="0" eb="5">
      <t>カリイレキンチョウタツ</t>
    </rPh>
    <phoneticPr fontId="3"/>
  </si>
  <si>
    <t>設備投資額について、教えてください。</t>
    <rPh sb="0" eb="4">
      <t>セツビトウシ</t>
    </rPh>
    <phoneticPr fontId="3"/>
  </si>
  <si>
    <t>借入金返済</t>
    <rPh sb="0" eb="3">
      <t>カリイレキン</t>
    </rPh>
    <rPh sb="3" eb="5">
      <t>ヘンサイ</t>
    </rPh>
    <phoneticPr fontId="3"/>
  </si>
  <si>
    <t>借入金調達</t>
    <rPh sb="0" eb="3">
      <t>カリイレキン</t>
    </rPh>
    <rPh sb="3" eb="5">
      <t>チョウタツ</t>
    </rPh>
    <phoneticPr fontId="3"/>
  </si>
  <si>
    <t>保険料</t>
    <rPh sb="0" eb="3">
      <t>ホケンリョウ</t>
    </rPh>
    <phoneticPr fontId="3"/>
  </si>
  <si>
    <t>当期増減経費（月額）</t>
    <rPh sb="0" eb="2">
      <t>トウキ</t>
    </rPh>
    <rPh sb="2" eb="4">
      <t>ゾウゲン</t>
    </rPh>
    <rPh sb="4" eb="6">
      <t>ケイヒ</t>
    </rPh>
    <rPh sb="7" eb="9">
      <t>ゲツガク</t>
    </rPh>
    <phoneticPr fontId="3"/>
  </si>
  <si>
    <t>地代家賃</t>
    <rPh sb="0" eb="4">
      <t>チダイヤチン</t>
    </rPh>
    <phoneticPr fontId="3"/>
  </si>
  <si>
    <t>その他</t>
    <rPh sb="2" eb="3">
      <t>タ</t>
    </rPh>
    <phoneticPr fontId="3"/>
  </si>
  <si>
    <t>修正額</t>
    <rPh sb="0" eb="3">
      <t>シュウセイガク</t>
    </rPh>
    <phoneticPr fontId="3"/>
  </si>
  <si>
    <t>実績</t>
    <rPh sb="0" eb="2">
      <t>ジッセキ</t>
    </rPh>
    <phoneticPr fontId="3"/>
  </si>
  <si>
    <t>見込み</t>
    <rPh sb="0" eb="2">
      <t>ミコ</t>
    </rPh>
    <phoneticPr fontId="3"/>
  </si>
  <si>
    <t>サイト(月)</t>
    <rPh sb="4" eb="5">
      <t>ツキ</t>
    </rPh>
    <phoneticPr fontId="3"/>
  </si>
  <si>
    <t>当月中</t>
    <rPh sb="0" eb="3">
      <t>トウゲツチュウ</t>
    </rPh>
    <phoneticPr fontId="3"/>
  </si>
  <si>
    <t>1か月</t>
    <phoneticPr fontId="3"/>
  </si>
  <si>
    <t>2か月</t>
    <rPh sb="2" eb="3">
      <t>ゲツ</t>
    </rPh>
    <phoneticPr fontId="3"/>
  </si>
  <si>
    <t>決算月数</t>
    <rPh sb="0" eb="2">
      <t>ケッサン</t>
    </rPh>
    <rPh sb="2" eb="4">
      <t>ツキスウ</t>
    </rPh>
    <phoneticPr fontId="3"/>
  </si>
  <si>
    <t>その他経費（年）</t>
    <rPh sb="2" eb="3">
      <t>タ</t>
    </rPh>
    <rPh sb="3" eb="5">
      <t>ケイヒ</t>
    </rPh>
    <rPh sb="6" eb="7">
      <t>ネン</t>
    </rPh>
    <phoneticPr fontId="3"/>
  </si>
  <si>
    <t>その他経費（月）</t>
    <rPh sb="2" eb="3">
      <t>タ</t>
    </rPh>
    <rPh sb="3" eb="5">
      <t>ケイヒ</t>
    </rPh>
    <rPh sb="6" eb="7">
      <t>ツキ</t>
    </rPh>
    <phoneticPr fontId="3"/>
  </si>
  <si>
    <t>当期その他経費（月）</t>
    <rPh sb="0" eb="2">
      <t>トウキ</t>
    </rPh>
    <rPh sb="4" eb="5">
      <t>タ</t>
    </rPh>
    <rPh sb="5" eb="7">
      <t>ケイヒ</t>
    </rPh>
    <rPh sb="8" eb="9">
      <t>ツキ</t>
    </rPh>
    <phoneticPr fontId="3"/>
  </si>
  <si>
    <t>＜入金＞</t>
    <rPh sb="1" eb="3">
      <t>ニュウキン</t>
    </rPh>
    <phoneticPr fontId="3"/>
  </si>
  <si>
    <t>＜出金＞</t>
    <rPh sb="1" eb="3">
      <t>シュッキン</t>
    </rPh>
    <phoneticPr fontId="3"/>
  </si>
  <si>
    <t>売上高</t>
    <rPh sb="0" eb="3">
      <t>ウリアゲダカ</t>
    </rPh>
    <phoneticPr fontId="3"/>
  </si>
  <si>
    <t>仕入高</t>
    <rPh sb="0" eb="2">
      <t>シイレ</t>
    </rPh>
    <rPh sb="2" eb="3">
      <t>ダカ</t>
    </rPh>
    <phoneticPr fontId="3"/>
  </si>
  <si>
    <t>直近4ヶ月の売上・仕入の金額を教えてください。</t>
    <rPh sb="0" eb="2">
      <t>チョッキン</t>
    </rPh>
    <rPh sb="4" eb="5">
      <t>ゲツ</t>
    </rPh>
    <rPh sb="6" eb="8">
      <t>ウリアゲ</t>
    </rPh>
    <rPh sb="9" eb="11">
      <t>シイレ</t>
    </rPh>
    <rPh sb="12" eb="14">
      <t>キンガク</t>
    </rPh>
    <rPh sb="15" eb="16">
      <t>オシ</t>
    </rPh>
    <phoneticPr fontId="3"/>
  </si>
  <si>
    <t>売上代金が入金するまでの期間を教えてください。</t>
    <rPh sb="0" eb="2">
      <t>ウリアゲ</t>
    </rPh>
    <rPh sb="2" eb="4">
      <t>ダイキン</t>
    </rPh>
    <rPh sb="5" eb="7">
      <t>ニュウキン</t>
    </rPh>
    <rPh sb="12" eb="14">
      <t>キカン</t>
    </rPh>
    <rPh sb="15" eb="16">
      <t>オシ</t>
    </rPh>
    <phoneticPr fontId="3"/>
  </si>
  <si>
    <t>主要取引先の売上高構成比とサイトを入力してください。</t>
    <rPh sb="2" eb="4">
      <t>トリヒキ</t>
    </rPh>
    <rPh sb="4" eb="5">
      <t>サキ</t>
    </rPh>
    <rPh sb="6" eb="8">
      <t>ウリアゲ</t>
    </rPh>
    <rPh sb="8" eb="9">
      <t>ダカ</t>
    </rPh>
    <rPh sb="9" eb="12">
      <t>コウセイヒ</t>
    </rPh>
    <rPh sb="17" eb="19">
      <t>ニュウリョク</t>
    </rPh>
    <phoneticPr fontId="3"/>
  </si>
  <si>
    <t>仕入代金が入金するまでの期間を教えてください。</t>
    <rPh sb="0" eb="2">
      <t>シイレ</t>
    </rPh>
    <rPh sb="2" eb="4">
      <t>ダイキン</t>
    </rPh>
    <rPh sb="5" eb="7">
      <t>ニュウキン</t>
    </rPh>
    <rPh sb="12" eb="14">
      <t>キカン</t>
    </rPh>
    <rPh sb="15" eb="16">
      <t>オシ</t>
    </rPh>
    <phoneticPr fontId="3"/>
  </si>
  <si>
    <t>主要取引先の仕入高構成比とサイトを入力してください。</t>
    <rPh sb="6" eb="8">
      <t>シイレ</t>
    </rPh>
    <rPh sb="8" eb="9">
      <t>ダカ</t>
    </rPh>
    <phoneticPr fontId="3"/>
  </si>
  <si>
    <t>≪売上回収・仕入支払期間≫</t>
    <rPh sb="1" eb="3">
      <t>ウリアゲ</t>
    </rPh>
    <rPh sb="3" eb="5">
      <t>カイシュウ</t>
    </rPh>
    <rPh sb="6" eb="8">
      <t>シイ</t>
    </rPh>
    <rPh sb="8" eb="10">
      <t>シハライ</t>
    </rPh>
    <rPh sb="10" eb="12">
      <t>キカン</t>
    </rPh>
    <phoneticPr fontId="3"/>
  </si>
  <si>
    <t>売上回収期間</t>
    <rPh sb="0" eb="2">
      <t>ウリアゲ</t>
    </rPh>
    <rPh sb="2" eb="4">
      <t>カイシュウ</t>
    </rPh>
    <rPh sb="4" eb="6">
      <t>キカン</t>
    </rPh>
    <phoneticPr fontId="3"/>
  </si>
  <si>
    <t>仕入支払期間</t>
    <rPh sb="0" eb="2">
      <t>シイレ</t>
    </rPh>
    <rPh sb="2" eb="4">
      <t>シハライ</t>
    </rPh>
    <rPh sb="4" eb="6">
      <t>キカン</t>
    </rPh>
    <phoneticPr fontId="3"/>
  </si>
  <si>
    <t>回収サイト</t>
    <rPh sb="0" eb="2">
      <t>カイシュウ</t>
    </rPh>
    <phoneticPr fontId="3"/>
  </si>
  <si>
    <t>支払サイト</t>
    <rPh sb="0" eb="2">
      <t>シハライ</t>
    </rPh>
    <phoneticPr fontId="3"/>
  </si>
  <si>
    <t>3か月以上</t>
    <rPh sb="2" eb="3">
      <t>ゲツ</t>
    </rPh>
    <rPh sb="3" eb="5">
      <t>イジョウ</t>
    </rPh>
    <phoneticPr fontId="3"/>
  </si>
  <si>
    <t>租税公課</t>
    <rPh sb="0" eb="4">
      <t>ソゼイコウカ</t>
    </rPh>
    <phoneticPr fontId="3"/>
  </si>
  <si>
    <t>福利厚生費</t>
    <rPh sb="0" eb="5">
      <t>フクリコウセイヒ</t>
    </rPh>
    <phoneticPr fontId="3"/>
  </si>
  <si>
    <t>給料賃金</t>
    <rPh sb="0" eb="4">
      <t>キュウリョウチンギン</t>
    </rPh>
    <phoneticPr fontId="3"/>
  </si>
  <si>
    <t>外注工賃</t>
    <rPh sb="0" eb="2">
      <t>ガイチュウ</t>
    </rPh>
    <rPh sb="2" eb="4">
      <t>コウチン</t>
    </rPh>
    <phoneticPr fontId="3"/>
  </si>
  <si>
    <t>利子割引料</t>
    <rPh sb="0" eb="5">
      <t>リシワリビキリョウ</t>
    </rPh>
    <phoneticPr fontId="3"/>
  </si>
  <si>
    <t>専従者給与</t>
    <rPh sb="0" eb="5">
      <t>センジュウシャキュウヨ</t>
    </rPh>
    <phoneticPr fontId="3"/>
  </si>
  <si>
    <t>各月の外注費の金額は？</t>
    <rPh sb="0" eb="2">
      <t>カクツキ</t>
    </rPh>
    <rPh sb="3" eb="6">
      <t>ガイチュウヒ</t>
    </rPh>
    <rPh sb="7" eb="9">
      <t>キンガク</t>
    </rPh>
    <phoneticPr fontId="3"/>
  </si>
  <si>
    <t>前期申告</t>
    <rPh sb="0" eb="2">
      <t>ゼンキ</t>
    </rPh>
    <rPh sb="2" eb="4">
      <t>シンコク</t>
    </rPh>
    <phoneticPr fontId="3"/>
  </si>
  <si>
    <t>経費計</t>
    <rPh sb="0" eb="2">
      <t>ケイヒ</t>
    </rPh>
    <rPh sb="2" eb="3">
      <t>ケイ</t>
    </rPh>
    <phoneticPr fontId="3"/>
  </si>
  <si>
    <t>外注工賃</t>
    <rPh sb="0" eb="4">
      <t>ガイチュウコウチン</t>
    </rPh>
    <phoneticPr fontId="3"/>
  </si>
  <si>
    <t>各月の人件費の金額は？（給与、賞与、専従者給与等）</t>
    <rPh sb="3" eb="6">
      <t>ジンケンヒ</t>
    </rPh>
    <rPh sb="18" eb="21">
      <t>センジュウシャ</t>
    </rPh>
    <rPh sb="21" eb="23">
      <t>キュウヨ</t>
    </rPh>
    <phoneticPr fontId="3"/>
  </si>
  <si>
    <t>外注工費</t>
    <rPh sb="0" eb="2">
      <t>ガイチュウ</t>
    </rPh>
    <rPh sb="2" eb="4">
      <t>コウヒ</t>
    </rPh>
    <phoneticPr fontId="3"/>
  </si>
  <si>
    <t>営業経費等</t>
    <rPh sb="0" eb="5">
      <t>エイギョウケイヒトウ</t>
    </rPh>
    <phoneticPr fontId="3"/>
  </si>
  <si>
    <t>各月の営業経費等の金額は？</t>
    <rPh sb="3" eb="8">
      <t>エイギョウケイヒトウ</t>
    </rPh>
    <phoneticPr fontId="3"/>
  </si>
  <si>
    <t>【資金繰り予定表】</t>
    <rPh sb="1" eb="3">
      <t>シキン</t>
    </rPh>
    <rPh sb="3" eb="4">
      <t>グ</t>
    </rPh>
    <rPh sb="5" eb="7">
      <t>ヨテイ</t>
    </rPh>
    <rPh sb="7" eb="8">
      <t>ヒョウ</t>
    </rPh>
    <phoneticPr fontId="3"/>
  </si>
  <si>
    <t>【達成率を考慮した資金繰り予定表】</t>
    <rPh sb="1" eb="4">
      <t>タッセイリツ</t>
    </rPh>
    <rPh sb="5" eb="7">
      <t>コウリョ</t>
    </rPh>
    <rPh sb="9" eb="11">
      <t>シキン</t>
    </rPh>
    <rPh sb="11" eb="12">
      <t>グ</t>
    </rPh>
    <rPh sb="13" eb="15">
      <t>ヨテイ</t>
    </rPh>
    <rPh sb="15" eb="16">
      <t>ヒョウ</t>
    </rPh>
    <phoneticPr fontId="3"/>
  </si>
  <si>
    <t>各月のその他支出の金額は？（リース料、利子割引料、その他支出等）</t>
    <rPh sb="0" eb="1">
      <t>カク</t>
    </rPh>
    <rPh sb="19" eb="21">
      <t>リシ</t>
    </rPh>
    <rPh sb="21" eb="24">
      <t>ワリビキリョウ</t>
    </rPh>
    <phoneticPr fontId="3"/>
  </si>
  <si>
    <t>各月の租税公課の金額は？</t>
    <rPh sb="3" eb="7">
      <t>ソゼイコウカ</t>
    </rPh>
    <phoneticPr fontId="3"/>
  </si>
  <si>
    <t>取引先等</t>
    <rPh sb="0" eb="3">
      <t>トリヒキサキ</t>
    </rPh>
    <rPh sb="3" eb="4">
      <t>トウ</t>
    </rPh>
    <phoneticPr fontId="3"/>
  </si>
  <si>
    <t>取引先等</t>
    <rPh sb="0" eb="4">
      <t>トリヒキサキトウ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</si>
</sst>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411]ge&quot;年&quot;m&quot;月&quot;;@"/>
    <numFmt numFmtId="179" formatCode="#,##0_ ;[Red]\-#,##0\ "/>
    <numFmt numFmtId="180" formatCode="[$-411]ge\.m\.d;@"/>
    <numFmt numFmtId="181" formatCode="0&quot;か月&quot;"/>
  </numFmts>
  <fonts count="31">
    <font>
      <sz val="11"/>
      <color theme="1"/>
      <name val="游ゴシック"/>
      <family val="2"/>
      <charset val="128"/>
      <scheme val="minor"/>
    </font>
    <font>
      <sz val="11"/>
      <color theme="1"/>
      <name val="游ゴシック"/>
      <family val="2"/>
      <charset val="128"/>
      <scheme val="minor"/>
    </font>
    <font>
      <sz val="24"/>
      <color theme="1"/>
      <name val="ＭＳ ゴシック"/>
      <family val="3"/>
      <charset val="128"/>
    </font>
    <font>
      <sz val="6"/>
      <name val="游ゴシック"/>
      <family val="2"/>
      <charset val="128"/>
      <scheme val="minor"/>
    </font>
    <font>
      <sz val="20"/>
      <color theme="1"/>
      <name val="ＭＳ ゴシック"/>
      <family val="3"/>
      <charset val="128"/>
    </font>
    <font>
      <b/>
      <sz val="20"/>
      <color theme="1"/>
      <name val="ＭＳ ゴシック"/>
      <family val="3"/>
      <charset val="128"/>
    </font>
    <font>
      <sz val="11"/>
      <color theme="1"/>
      <name val="游ゴシック"/>
      <family val="3"/>
      <charset val="128"/>
      <scheme val="minor"/>
    </font>
    <font>
      <b/>
      <sz val="24"/>
      <color theme="1"/>
      <name val="ＭＳ ゴシック"/>
      <family val="3"/>
      <charset val="128"/>
    </font>
    <font>
      <b/>
      <sz val="16"/>
      <color theme="1"/>
      <name val="游ゴシック"/>
      <family val="3"/>
      <charset val="128"/>
      <scheme val="minor"/>
    </font>
    <font>
      <sz val="11"/>
      <color theme="0"/>
      <name val="游ゴシック"/>
      <family val="2"/>
      <charset val="128"/>
      <scheme val="minor"/>
    </font>
    <font>
      <b/>
      <sz val="18"/>
      <color theme="1"/>
      <name val="游ゴシック"/>
      <family val="3"/>
      <charset val="128"/>
      <scheme val="minor"/>
    </font>
    <font>
      <b/>
      <sz val="14"/>
      <color theme="1"/>
      <name val="游ゴシック"/>
      <family val="2"/>
      <charset val="128"/>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color theme="0"/>
      <name val="游ゴシック"/>
      <family val="3"/>
      <charset val="128"/>
      <scheme val="minor"/>
    </font>
    <font>
      <b/>
      <sz val="12"/>
      <color theme="0"/>
      <name val="游ゴシック"/>
      <family val="3"/>
      <charset val="128"/>
      <scheme val="minor"/>
    </font>
    <font>
      <b/>
      <sz val="11"/>
      <color theme="1"/>
      <name val="游ゴシック"/>
      <family val="3"/>
      <charset val="128"/>
      <scheme val="minor"/>
    </font>
    <font>
      <sz val="11"/>
      <name val="ＭＳ Ｐゴシック"/>
      <family val="3"/>
      <charset val="128"/>
    </font>
    <font>
      <sz val="9"/>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5"/>
      <color theme="1"/>
      <name val="游ゴシック"/>
      <family val="3"/>
      <charset val="128"/>
      <scheme val="minor"/>
    </font>
    <font>
      <b/>
      <sz val="18"/>
      <color rgb="FFFF0000"/>
      <name val="游ゴシック"/>
      <family val="3"/>
      <charset val="128"/>
      <scheme val="minor"/>
    </font>
    <font>
      <b/>
      <sz val="22"/>
      <color theme="1"/>
      <name val="游ゴシック"/>
      <family val="3"/>
      <charset val="128"/>
      <scheme val="minor"/>
    </font>
    <font>
      <b/>
      <sz val="9"/>
      <color indexed="81"/>
      <name val="MS P ゴシック"/>
      <family val="3"/>
      <charset val="128"/>
    </font>
    <font>
      <b/>
      <sz val="12"/>
      <name val="游ゴシック"/>
      <family val="3"/>
      <charset val="128"/>
      <scheme val="minor"/>
    </font>
    <font>
      <b/>
      <sz val="11"/>
      <color indexed="81"/>
      <name val="游ゴシック"/>
      <family val="3"/>
      <charset val="128"/>
      <scheme val="minor"/>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2CC"/>
        <bgColor indexed="64"/>
      </patternFill>
    </fill>
    <fill>
      <patternFill patternType="solid">
        <fgColor theme="1" tint="0.499984740745262"/>
        <bgColor indexed="64"/>
      </patternFill>
    </fill>
    <fill>
      <patternFill patternType="solid">
        <fgColor rgb="FFFFFF66"/>
        <bgColor indexed="64"/>
      </patternFill>
    </fill>
    <fill>
      <patternFill patternType="solid">
        <fgColor rgb="FFCCFF9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auto="1"/>
      </top>
      <bottom/>
      <diagonal/>
    </border>
    <border>
      <left/>
      <right/>
      <top style="hair">
        <color auto="1"/>
      </top>
      <bottom/>
      <diagonal/>
    </border>
    <border>
      <left/>
      <right style="thin">
        <color auto="1"/>
      </right>
      <top style="hair">
        <color auto="1"/>
      </top>
      <bottom/>
      <diagonal/>
    </border>
    <border>
      <left style="thin">
        <color indexed="64"/>
      </left>
      <right style="thin">
        <color auto="1"/>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8" fillId="0" borderId="0" applyFont="0" applyFill="0" applyBorder="0" applyAlignment="0" applyProtection="0"/>
    <xf numFmtId="38" fontId="18" fillId="0" borderId="0" applyFont="0" applyFill="0" applyBorder="0" applyAlignment="0" applyProtection="0">
      <alignment vertical="center"/>
    </xf>
    <xf numFmtId="0" fontId="18" fillId="0" borderId="0"/>
    <xf numFmtId="0" fontId="18" fillId="0" borderId="0">
      <alignment vertical="center"/>
    </xf>
  </cellStyleXfs>
  <cellXfs count="347">
    <xf numFmtId="0" fontId="0" fillId="0" borderId="0" xfId="0">
      <alignment vertical="center"/>
    </xf>
    <xf numFmtId="0" fontId="2" fillId="0" borderId="1" xfId="0" applyFont="1" applyBorder="1" applyAlignment="1">
      <alignment horizontal="right" vertical="center"/>
    </xf>
    <xf numFmtId="0" fontId="2" fillId="0" borderId="9" xfId="0" applyFont="1" applyBorder="1" applyAlignment="1">
      <alignment horizontal="center" vertical="center"/>
    </xf>
    <xf numFmtId="38" fontId="0" fillId="0" borderId="0" xfId="1" applyFont="1">
      <alignment vertical="center"/>
    </xf>
    <xf numFmtId="38" fontId="4" fillId="0" borderId="0" xfId="1" applyFont="1" applyAlignment="1">
      <alignment horizontal="right" vertical="center"/>
    </xf>
    <xf numFmtId="49" fontId="4" fillId="0" borderId="10" xfId="0" applyNumberFormat="1" applyFont="1" applyBorder="1" applyAlignment="1">
      <alignment horizontal="center" vertical="center"/>
    </xf>
    <xf numFmtId="38" fontId="4" fillId="0" borderId="1" xfId="1" applyFont="1" applyBorder="1" applyAlignment="1">
      <alignment horizontal="center" vertical="center"/>
    </xf>
    <xf numFmtId="0" fontId="5" fillId="0" borderId="1" xfId="0" applyFont="1" applyBorder="1" applyAlignment="1">
      <alignment horizontal="left" vertical="center"/>
    </xf>
    <xf numFmtId="38" fontId="4" fillId="0" borderId="11" xfId="1" applyFont="1" applyBorder="1">
      <alignment vertical="center"/>
    </xf>
    <xf numFmtId="38" fontId="4" fillId="0" borderId="1" xfId="1" applyFont="1" applyBorder="1">
      <alignment vertical="center"/>
    </xf>
    <xf numFmtId="38" fontId="4" fillId="0" borderId="12" xfId="1" applyFont="1" applyBorder="1">
      <alignment vertical="center"/>
    </xf>
    <xf numFmtId="0" fontId="4" fillId="0" borderId="13" xfId="0" applyFont="1" applyBorder="1" applyAlignment="1">
      <alignment horizontal="left" vertical="center"/>
    </xf>
    <xf numFmtId="38" fontId="4" fillId="0" borderId="14" xfId="1" applyFont="1" applyBorder="1">
      <alignment vertical="center"/>
    </xf>
    <xf numFmtId="38" fontId="4" fillId="0" borderId="13" xfId="1" applyFont="1" applyBorder="1">
      <alignment vertical="center"/>
    </xf>
    <xf numFmtId="38" fontId="4" fillId="0" borderId="15" xfId="1" applyFont="1" applyBorder="1">
      <alignment vertical="center"/>
    </xf>
    <xf numFmtId="0" fontId="4" fillId="0" borderId="16" xfId="0" applyFont="1" applyBorder="1" applyAlignment="1">
      <alignment horizontal="left" vertical="center"/>
    </xf>
    <xf numFmtId="38" fontId="4" fillId="0" borderId="17" xfId="1" applyFont="1" applyBorder="1">
      <alignment vertical="center"/>
    </xf>
    <xf numFmtId="38" fontId="4" fillId="0" borderId="16" xfId="1" applyFont="1" applyBorder="1">
      <alignment vertical="center"/>
    </xf>
    <xf numFmtId="38" fontId="4" fillId="0" borderId="18" xfId="1" applyFont="1" applyBorder="1">
      <alignment vertical="center"/>
    </xf>
    <xf numFmtId="0" fontId="4" fillId="0" borderId="19" xfId="0" applyFont="1" applyBorder="1" applyAlignment="1">
      <alignment horizontal="left" vertical="center"/>
    </xf>
    <xf numFmtId="38" fontId="4" fillId="0" borderId="20" xfId="1" applyFont="1" applyBorder="1">
      <alignment vertical="center"/>
    </xf>
    <xf numFmtId="38" fontId="4" fillId="0" borderId="19" xfId="1" applyFont="1" applyBorder="1">
      <alignment vertical="center"/>
    </xf>
    <xf numFmtId="38" fontId="4" fillId="0" borderId="21" xfId="1" applyFont="1" applyBorder="1">
      <alignment vertical="center"/>
    </xf>
    <xf numFmtId="0" fontId="5" fillId="0" borderId="10" xfId="0" applyFont="1" applyBorder="1" applyAlignment="1">
      <alignment horizontal="left" vertical="center" wrapText="1"/>
    </xf>
    <xf numFmtId="38" fontId="4" fillId="0" borderId="4" xfId="1" applyFont="1" applyBorder="1">
      <alignment vertical="center"/>
    </xf>
    <xf numFmtId="38" fontId="4" fillId="0" borderId="10" xfId="1" applyFont="1" applyBorder="1">
      <alignment vertical="center"/>
    </xf>
    <xf numFmtId="38" fontId="4" fillId="0" borderId="3" xfId="1" applyFont="1" applyBorder="1">
      <alignment vertical="center"/>
    </xf>
    <xf numFmtId="0" fontId="4" fillId="0" borderId="22" xfId="0" applyFont="1" applyBorder="1" applyAlignment="1">
      <alignment horizontal="left" vertical="center"/>
    </xf>
    <xf numFmtId="38" fontId="4" fillId="0" borderId="23" xfId="1" applyFont="1" applyBorder="1">
      <alignment vertical="center"/>
    </xf>
    <xf numFmtId="38" fontId="4" fillId="0" borderId="22" xfId="1" applyFont="1" applyBorder="1">
      <alignment vertical="center"/>
    </xf>
    <xf numFmtId="38" fontId="4" fillId="0" borderId="24" xfId="1" applyFont="1" applyBorder="1">
      <alignment vertical="center"/>
    </xf>
    <xf numFmtId="0" fontId="5" fillId="0" borderId="1" xfId="0" applyFont="1" applyBorder="1" applyAlignment="1">
      <alignment horizontal="left" vertical="center" wrapText="1"/>
    </xf>
    <xf numFmtId="0" fontId="5" fillId="0" borderId="26" xfId="0" applyFont="1" applyBorder="1" applyAlignment="1">
      <alignment horizontal="left" vertical="center" wrapText="1"/>
    </xf>
    <xf numFmtId="38" fontId="4" fillId="0" borderId="0" xfId="1" applyFont="1">
      <alignment vertical="center"/>
    </xf>
    <xf numFmtId="38" fontId="4" fillId="0" borderId="26" xfId="1" applyFont="1" applyBorder="1">
      <alignment vertical="center"/>
    </xf>
    <xf numFmtId="38" fontId="4" fillId="0" borderId="6" xfId="1" applyFont="1" applyBorder="1">
      <alignment vertical="center"/>
    </xf>
    <xf numFmtId="0" fontId="7" fillId="0" borderId="0" xfId="0" applyFont="1" applyAlignment="1">
      <alignment vertical="center"/>
    </xf>
    <xf numFmtId="0" fontId="4" fillId="0" borderId="26" xfId="0" applyFont="1" applyBorder="1" applyAlignment="1">
      <alignment horizontal="left" vertical="center"/>
    </xf>
    <xf numFmtId="38" fontId="4" fillId="0" borderId="0" xfId="1" applyFont="1" applyBorder="1">
      <alignment vertical="center"/>
    </xf>
    <xf numFmtId="0" fontId="4" fillId="0" borderId="27" xfId="0" applyFont="1" applyBorder="1" applyAlignment="1">
      <alignment horizontal="left" vertical="center"/>
    </xf>
    <xf numFmtId="38" fontId="4" fillId="0" borderId="28" xfId="1" applyFont="1" applyBorder="1">
      <alignment vertical="center"/>
    </xf>
    <xf numFmtId="38" fontId="4" fillId="0" borderId="27" xfId="1" applyFont="1" applyBorder="1">
      <alignment vertical="center"/>
    </xf>
    <xf numFmtId="38" fontId="4" fillId="0" borderId="29" xfId="1" applyFont="1" applyBorder="1">
      <alignment vertical="center"/>
    </xf>
    <xf numFmtId="0" fontId="2" fillId="0" borderId="1" xfId="0" applyFont="1" applyBorder="1" applyAlignment="1">
      <alignment horizontal="center" vertical="center"/>
    </xf>
    <xf numFmtId="0" fontId="0" fillId="0" borderId="0" xfId="0" applyAlignment="1">
      <alignment vertical="center" wrapText="1"/>
    </xf>
    <xf numFmtId="177" fontId="0" fillId="2" borderId="1" xfId="0" applyNumberFormat="1" applyFill="1" applyBorder="1">
      <alignment vertical="center"/>
    </xf>
    <xf numFmtId="177" fontId="0" fillId="0" borderId="0" xfId="0" applyNumberFormat="1">
      <alignment vertical="center"/>
    </xf>
    <xf numFmtId="9" fontId="0" fillId="2" borderId="1" xfId="2" applyFont="1" applyFill="1" applyBorder="1">
      <alignment vertical="center"/>
    </xf>
    <xf numFmtId="0" fontId="0" fillId="2" borderId="1" xfId="0" applyFill="1" applyBorder="1">
      <alignment vertical="center"/>
    </xf>
    <xf numFmtId="0" fontId="0" fillId="0" borderId="0" xfId="0" applyAlignment="1">
      <alignment vertical="center" shrinkToFit="1"/>
    </xf>
    <xf numFmtId="0" fontId="0" fillId="0" borderId="31" xfId="0" applyBorder="1" applyAlignment="1">
      <alignment vertical="center" shrinkToFit="1"/>
    </xf>
    <xf numFmtId="9" fontId="0" fillId="2" borderId="32" xfId="0" applyNumberFormat="1" applyFill="1" applyBorder="1">
      <alignment vertical="center"/>
    </xf>
    <xf numFmtId="0" fontId="9" fillId="3" borderId="0" xfId="0" applyFont="1" applyFill="1" applyAlignment="1">
      <alignment vertical="center" shrinkToFit="1"/>
    </xf>
    <xf numFmtId="0" fontId="9" fillId="3" borderId="0" xfId="0" applyFont="1" applyFill="1">
      <alignment vertical="center"/>
    </xf>
    <xf numFmtId="9" fontId="9" fillId="3" borderId="0" xfId="0" applyNumberFormat="1" applyFont="1" applyFill="1">
      <alignment vertical="center"/>
    </xf>
    <xf numFmtId="0" fontId="0" fillId="3" borderId="0" xfId="0" applyFill="1">
      <alignment vertical="center"/>
    </xf>
    <xf numFmtId="9" fontId="0" fillId="3" borderId="0" xfId="2" applyFont="1" applyFill="1">
      <alignment vertical="center"/>
    </xf>
    <xf numFmtId="9" fontId="13" fillId="3" borderId="0" xfId="2" applyFont="1" applyFill="1">
      <alignment vertical="center"/>
    </xf>
    <xf numFmtId="0" fontId="13" fillId="3" borderId="0" xfId="0" applyFont="1" applyFill="1">
      <alignment vertical="center"/>
    </xf>
    <xf numFmtId="0" fontId="13" fillId="0" borderId="0" xfId="0" applyFont="1">
      <alignment vertical="center"/>
    </xf>
    <xf numFmtId="0" fontId="14" fillId="4" borderId="1" xfId="0" applyFont="1" applyFill="1" applyBorder="1" applyAlignment="1">
      <alignment vertical="center" shrinkToFit="1"/>
    </xf>
    <xf numFmtId="178" fontId="15" fillId="4" borderId="1" xfId="0" applyNumberFormat="1" applyFont="1" applyFill="1" applyBorder="1" applyAlignment="1">
      <alignment horizontal="center" vertical="center"/>
    </xf>
    <xf numFmtId="0" fontId="16" fillId="4" borderId="1" xfId="0" applyFont="1" applyFill="1" applyBorder="1" applyAlignment="1">
      <alignment vertical="center" shrinkToFit="1"/>
    </xf>
    <xf numFmtId="0" fontId="14" fillId="0" borderId="1" xfId="0" applyFont="1" applyBorder="1" applyAlignment="1">
      <alignment vertical="center" shrinkToFit="1"/>
    </xf>
    <xf numFmtId="179" fontId="13" fillId="3" borderId="1" xfId="0" applyNumberFormat="1" applyFont="1" applyFill="1" applyBorder="1">
      <alignment vertical="center"/>
    </xf>
    <xf numFmtId="0" fontId="14" fillId="3" borderId="1" xfId="0" applyFont="1" applyFill="1" applyBorder="1" applyAlignment="1">
      <alignment vertical="center" shrinkToFit="1"/>
    </xf>
    <xf numFmtId="179" fontId="13" fillId="0" borderId="1" xfId="0" applyNumberFormat="1" applyFont="1" applyBorder="1">
      <alignment vertical="center"/>
    </xf>
    <xf numFmtId="0" fontId="14" fillId="0" borderId="0" xfId="0" applyFont="1" applyAlignment="1">
      <alignment vertical="center" shrinkToFit="1"/>
    </xf>
    <xf numFmtId="0" fontId="14" fillId="3" borderId="0" xfId="0" applyFont="1" applyFill="1" applyAlignment="1">
      <alignment vertical="center" shrinkToFit="1"/>
    </xf>
    <xf numFmtId="177" fontId="13" fillId="0" borderId="1" xfId="0" applyNumberFormat="1" applyFont="1" applyBorder="1">
      <alignment vertical="center"/>
    </xf>
    <xf numFmtId="0" fontId="14" fillId="5" borderId="1" xfId="0" applyFont="1" applyFill="1" applyBorder="1" applyAlignment="1">
      <alignment vertical="center" shrinkToFit="1"/>
    </xf>
    <xf numFmtId="177" fontId="13" fillId="5" borderId="1" xfId="0" applyNumberFormat="1" applyFont="1" applyFill="1" applyBorder="1">
      <alignment vertical="center"/>
    </xf>
    <xf numFmtId="177" fontId="13" fillId="0" borderId="0" xfId="0" applyNumberFormat="1" applyFont="1">
      <alignment vertical="center"/>
    </xf>
    <xf numFmtId="176" fontId="13" fillId="0" borderId="1" xfId="0" applyNumberFormat="1" applyFont="1" applyBorder="1">
      <alignment vertical="center"/>
    </xf>
    <xf numFmtId="176" fontId="13" fillId="5" borderId="1" xfId="0" applyNumberFormat="1" applyFont="1" applyFill="1" applyBorder="1">
      <alignment vertical="center"/>
    </xf>
    <xf numFmtId="176" fontId="13" fillId="0" borderId="0" xfId="0" applyNumberFormat="1" applyFont="1">
      <alignment vertical="center"/>
    </xf>
    <xf numFmtId="179" fontId="13" fillId="5" borderId="1" xfId="0" applyNumberFormat="1" applyFont="1" applyFill="1" applyBorder="1">
      <alignment vertical="center"/>
    </xf>
    <xf numFmtId="0" fontId="14" fillId="2" borderId="1" xfId="0" applyFont="1" applyFill="1" applyBorder="1" applyAlignment="1">
      <alignment vertical="center" shrinkToFit="1"/>
    </xf>
    <xf numFmtId="179" fontId="13" fillId="2" borderId="1" xfId="0" applyNumberFormat="1" applyFont="1" applyFill="1" applyBorder="1">
      <alignment vertical="center"/>
    </xf>
    <xf numFmtId="0" fontId="0" fillId="0" borderId="1" xfId="0" applyBorder="1">
      <alignment vertical="center"/>
    </xf>
    <xf numFmtId="9" fontId="0" fillId="3" borderId="1" xfId="2" applyFont="1" applyFill="1" applyBorder="1">
      <alignment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lignment vertical="center"/>
    </xf>
    <xf numFmtId="178" fontId="15" fillId="4" borderId="1" xfId="0" applyNumberFormat="1" applyFont="1" applyFill="1" applyBorder="1" applyAlignment="1">
      <alignment horizontal="center" vertical="center" shrinkToFit="1"/>
    </xf>
    <xf numFmtId="0" fontId="17" fillId="0" borderId="0" xfId="0" applyFont="1" applyAlignment="1">
      <alignment vertical="center" shrinkToFit="1"/>
    </xf>
    <xf numFmtId="0" fontId="17" fillId="0" borderId="0" xfId="0" applyFont="1">
      <alignment vertical="center"/>
    </xf>
    <xf numFmtId="9" fontId="8" fillId="3" borderId="0" xfId="2" applyFont="1" applyFill="1">
      <alignment vertical="center"/>
    </xf>
    <xf numFmtId="0" fontId="8" fillId="3" borderId="0" xfId="0" applyFont="1" applyFill="1">
      <alignment vertical="center"/>
    </xf>
    <xf numFmtId="0" fontId="8" fillId="0" borderId="0" xfId="0" applyFont="1">
      <alignment vertical="center"/>
    </xf>
    <xf numFmtId="0" fontId="14" fillId="6" borderId="1" xfId="0" applyFont="1" applyFill="1" applyBorder="1" applyAlignment="1">
      <alignment vertical="center" shrinkToFit="1"/>
    </xf>
    <xf numFmtId="177" fontId="13" fillId="6" borderId="1" xfId="0" applyNumberFormat="1" applyFont="1" applyFill="1" applyBorder="1">
      <alignment vertical="center"/>
    </xf>
    <xf numFmtId="176" fontId="13" fillId="6" borderId="1" xfId="0" applyNumberFormat="1" applyFont="1" applyFill="1" applyBorder="1">
      <alignment vertical="center"/>
    </xf>
    <xf numFmtId="179" fontId="13" fillId="6" borderId="1" xfId="0" applyNumberFormat="1" applyFont="1" applyFill="1" applyBorder="1">
      <alignment vertical="center"/>
    </xf>
    <xf numFmtId="9" fontId="0" fillId="0" borderId="0" xfId="0" applyNumberFormat="1">
      <alignment vertical="center"/>
    </xf>
    <xf numFmtId="9" fontId="0" fillId="2" borderId="0" xfId="2" applyFont="1" applyFill="1" applyBorder="1">
      <alignment vertical="center"/>
    </xf>
    <xf numFmtId="0" fontId="0" fillId="0" borderId="0" xfId="0" applyBorder="1" applyAlignment="1">
      <alignment vertical="center" shrinkToFit="1"/>
    </xf>
    <xf numFmtId="0" fontId="0" fillId="0" borderId="0" xfId="0" applyBorder="1">
      <alignment vertical="center"/>
    </xf>
    <xf numFmtId="177" fontId="0" fillId="0" borderId="0" xfId="0" applyNumberFormat="1" applyBorder="1">
      <alignment vertical="center"/>
    </xf>
    <xf numFmtId="9" fontId="0" fillId="3" borderId="0" xfId="2" applyFont="1" applyFill="1" applyBorder="1">
      <alignment vertical="center"/>
    </xf>
    <xf numFmtId="0" fontId="0" fillId="3" borderId="0" xfId="0" applyFill="1" applyBorder="1">
      <alignment vertical="center"/>
    </xf>
    <xf numFmtId="0" fontId="0" fillId="3" borderId="0" xfId="0" applyFill="1" applyBorder="1" applyAlignment="1">
      <alignment vertical="center"/>
    </xf>
    <xf numFmtId="177" fontId="0" fillId="8" borderId="1" xfId="0" applyNumberFormat="1" applyFill="1" applyBorder="1">
      <alignment vertical="center"/>
    </xf>
    <xf numFmtId="177" fontId="0" fillId="2" borderId="12" xfId="0" applyNumberFormat="1" applyFill="1" applyBorder="1">
      <alignment vertical="center"/>
    </xf>
    <xf numFmtId="177" fontId="0" fillId="2" borderId="30" xfId="0" applyNumberFormat="1" applyFill="1" applyBorder="1">
      <alignment vertical="center"/>
    </xf>
    <xf numFmtId="177" fontId="0" fillId="0" borderId="1" xfId="0" applyNumberFormat="1" applyBorder="1">
      <alignment vertical="center"/>
    </xf>
    <xf numFmtId="0" fontId="20" fillId="0" borderId="1" xfId="0" applyFont="1" applyBorder="1" applyAlignment="1">
      <alignment horizontal="left" vertical="center"/>
    </xf>
    <xf numFmtId="0" fontId="13" fillId="0" borderId="1" xfId="0" applyFont="1" applyBorder="1" applyAlignment="1">
      <alignment vertical="center" shrinkToFit="1"/>
    </xf>
    <xf numFmtId="38" fontId="13" fillId="0" borderId="1" xfId="1" applyFont="1" applyBorder="1" applyAlignment="1">
      <alignment vertical="center" shrinkToFit="1"/>
    </xf>
    <xf numFmtId="38" fontId="13" fillId="5" borderId="1" xfId="1" applyFont="1" applyFill="1" applyBorder="1" applyAlignment="1">
      <alignment vertical="center" shrinkToFit="1"/>
    </xf>
    <xf numFmtId="38" fontId="13" fillId="0" borderId="0" xfId="1" applyFont="1" applyAlignment="1">
      <alignment vertical="center" shrinkToFit="1"/>
    </xf>
    <xf numFmtId="38" fontId="13" fillId="5" borderId="1" xfId="1" applyFont="1" applyFill="1" applyBorder="1">
      <alignment vertical="center"/>
    </xf>
    <xf numFmtId="38" fontId="13" fillId="7" borderId="1" xfId="1" applyFont="1" applyFill="1" applyBorder="1" applyAlignment="1">
      <alignment vertical="center" shrinkToFit="1"/>
    </xf>
    <xf numFmtId="38" fontId="13" fillId="0" borderId="1" xfId="1" applyFont="1" applyBorder="1">
      <alignment vertical="center"/>
    </xf>
    <xf numFmtId="177" fontId="0" fillId="0" borderId="10" xfId="0" applyNumberFormat="1" applyBorder="1" applyAlignment="1">
      <alignment horizontal="center" vertical="center"/>
    </xf>
    <xf numFmtId="0" fontId="0" fillId="3" borderId="0" xfId="0" applyFill="1" applyBorder="1" applyAlignment="1">
      <alignment horizontal="center" vertical="center"/>
    </xf>
    <xf numFmtId="38" fontId="13" fillId="0" borderId="1" xfId="0" applyNumberFormat="1" applyFont="1" applyBorder="1" applyAlignment="1">
      <alignment vertical="center" shrinkToFit="1"/>
    </xf>
    <xf numFmtId="0" fontId="0" fillId="0" borderId="0" xfId="0" applyBorder="1" applyAlignment="1">
      <alignment horizontal="center" vertical="center" textRotation="255" readingOrder="1"/>
    </xf>
    <xf numFmtId="0" fontId="0" fillId="0" borderId="0" xfId="0" applyFill="1" applyBorder="1">
      <alignment vertical="center"/>
    </xf>
    <xf numFmtId="177" fontId="0" fillId="0" borderId="0" xfId="0" applyNumberFormat="1" applyFill="1">
      <alignment vertical="center"/>
    </xf>
    <xf numFmtId="0" fontId="0" fillId="0" borderId="0" xfId="0" applyFill="1">
      <alignment vertical="center"/>
    </xf>
    <xf numFmtId="0" fontId="19" fillId="0" borderId="0" xfId="0" applyFont="1" applyFill="1" applyBorder="1" applyAlignment="1">
      <alignment horizontal="center" vertical="top" textRotation="255"/>
    </xf>
    <xf numFmtId="0" fontId="20" fillId="0" borderId="0" xfId="0" applyFont="1" applyFill="1" applyBorder="1" applyAlignment="1">
      <alignment horizontal="left" vertical="center"/>
    </xf>
    <xf numFmtId="177" fontId="0" fillId="0" borderId="0" xfId="0" applyNumberFormat="1" applyFill="1" applyBorder="1">
      <alignment vertical="center"/>
    </xf>
    <xf numFmtId="177" fontId="0" fillId="0" borderId="11" xfId="0" applyNumberFormat="1" applyFill="1" applyBorder="1">
      <alignment vertical="center"/>
    </xf>
    <xf numFmtId="0" fontId="0" fillId="0" borderId="4" xfId="0" applyFill="1" applyBorder="1">
      <alignment vertical="center"/>
    </xf>
    <xf numFmtId="0" fontId="17" fillId="0" borderId="0" xfId="0" applyFont="1" applyAlignment="1">
      <alignment horizontal="center" vertical="center"/>
    </xf>
    <xf numFmtId="177" fontId="0" fillId="0" borderId="25" xfId="0" applyNumberFormat="1" applyFill="1" applyBorder="1">
      <alignment vertical="center"/>
    </xf>
    <xf numFmtId="0" fontId="20" fillId="0" borderId="25" xfId="0" applyFont="1" applyFill="1" applyBorder="1" applyAlignment="1">
      <alignment horizontal="left" vertical="center"/>
    </xf>
    <xf numFmtId="177" fontId="0" fillId="0" borderId="4" xfId="0" applyNumberFormat="1" applyFill="1" applyBorder="1">
      <alignment vertical="center"/>
    </xf>
    <xf numFmtId="0" fontId="20" fillId="0" borderId="4" xfId="0" applyFont="1" applyFill="1" applyBorder="1" applyAlignment="1">
      <alignment horizontal="left" vertical="center"/>
    </xf>
    <xf numFmtId="0" fontId="0" fillId="0" borderId="0" xfId="0" applyFill="1" applyBorder="1" applyAlignment="1">
      <alignment horizontal="center" vertical="center" textRotation="255" readingOrder="1"/>
    </xf>
    <xf numFmtId="9" fontId="0" fillId="0" borderId="0" xfId="2" applyFont="1" applyFill="1" applyBorder="1">
      <alignment vertical="center"/>
    </xf>
    <xf numFmtId="9" fontId="0" fillId="0" borderId="11" xfId="2" applyFont="1" applyFill="1" applyBorder="1">
      <alignment vertical="center"/>
    </xf>
    <xf numFmtId="38" fontId="13" fillId="5" borderId="1" xfId="1" applyFont="1" applyFill="1" applyBorder="1" applyAlignment="1">
      <alignment horizontal="right" vertical="center"/>
    </xf>
    <xf numFmtId="38" fontId="13" fillId="2" borderId="1" xfId="1" applyFont="1" applyFill="1" applyBorder="1">
      <alignment vertical="center"/>
    </xf>
    <xf numFmtId="38" fontId="13" fillId="3" borderId="1" xfId="1" applyFont="1" applyFill="1" applyBorder="1">
      <alignment vertical="center"/>
    </xf>
    <xf numFmtId="38" fontId="14" fillId="0" borderId="0" xfId="1" applyFont="1" applyAlignment="1">
      <alignment vertical="center" shrinkToFit="1"/>
    </xf>
    <xf numFmtId="38" fontId="13" fillId="3" borderId="0" xfId="1" applyFont="1" applyFill="1">
      <alignment vertical="center"/>
    </xf>
    <xf numFmtId="38" fontId="13" fillId="0" borderId="0" xfId="1" applyFont="1">
      <alignment vertical="center"/>
    </xf>
    <xf numFmtId="178" fontId="15" fillId="4" borderId="1" xfId="1" applyNumberFormat="1" applyFont="1" applyFill="1" applyBorder="1" applyAlignment="1">
      <alignment horizontal="center" vertical="center"/>
    </xf>
    <xf numFmtId="178" fontId="15" fillId="4" borderId="1" xfId="1" applyNumberFormat="1" applyFont="1" applyFill="1" applyBorder="1" applyAlignment="1">
      <alignment horizontal="center" vertical="center" shrinkToFit="1"/>
    </xf>
    <xf numFmtId="0" fontId="0" fillId="0" borderId="0" xfId="0" applyAlignment="1" applyProtection="1">
      <alignment vertical="center" shrinkToFit="1"/>
    </xf>
    <xf numFmtId="0" fontId="0" fillId="0" borderId="31" xfId="0" applyBorder="1" applyAlignment="1" applyProtection="1">
      <alignment vertical="center" shrinkToFit="1"/>
    </xf>
    <xf numFmtId="0" fontId="0" fillId="0" borderId="0" xfId="0" applyProtection="1">
      <alignment vertical="center"/>
    </xf>
    <xf numFmtId="0" fontId="9" fillId="3" borderId="0" xfId="0" applyFont="1" applyFill="1" applyProtection="1">
      <alignment vertical="center"/>
    </xf>
    <xf numFmtId="9" fontId="13" fillId="3" borderId="0" xfId="2" applyFont="1" applyFill="1" applyProtection="1">
      <alignment vertical="center"/>
    </xf>
    <xf numFmtId="0" fontId="13" fillId="3" borderId="0" xfId="0" applyFont="1" applyFill="1" applyProtection="1">
      <alignment vertical="center"/>
    </xf>
    <xf numFmtId="0" fontId="13" fillId="0" borderId="0" xfId="0" applyFont="1" applyProtection="1">
      <alignment vertical="center"/>
    </xf>
    <xf numFmtId="0" fontId="14" fillId="0" borderId="1" xfId="0" applyFont="1" applyBorder="1" applyAlignment="1" applyProtection="1">
      <alignment vertical="center" shrinkToFit="1"/>
    </xf>
    <xf numFmtId="38" fontId="13" fillId="3" borderId="1" xfId="1" applyFont="1" applyFill="1" applyBorder="1" applyProtection="1">
      <alignment vertical="center"/>
    </xf>
    <xf numFmtId="0" fontId="14" fillId="3" borderId="1" xfId="0" applyFont="1" applyFill="1" applyBorder="1" applyAlignment="1" applyProtection="1">
      <alignment vertical="center" shrinkToFit="1"/>
    </xf>
    <xf numFmtId="38" fontId="13" fillId="0" borderId="1" xfId="1" applyFont="1" applyBorder="1" applyProtection="1">
      <alignment vertical="center"/>
    </xf>
    <xf numFmtId="0" fontId="14" fillId="0" borderId="0" xfId="0" applyFont="1" applyAlignment="1" applyProtection="1">
      <alignment vertical="center" shrinkToFit="1"/>
    </xf>
    <xf numFmtId="38" fontId="13" fillId="0" borderId="1" xfId="1" applyFont="1" applyBorder="1" applyAlignment="1" applyProtection="1">
      <alignment vertical="center" shrinkToFit="1"/>
    </xf>
    <xf numFmtId="0" fontId="14" fillId="5" borderId="1" xfId="0" applyFont="1" applyFill="1" applyBorder="1" applyAlignment="1" applyProtection="1">
      <alignment vertical="center" shrinkToFit="1"/>
    </xf>
    <xf numFmtId="38" fontId="13" fillId="5" borderId="1" xfId="1" applyFont="1" applyFill="1" applyBorder="1" applyProtection="1">
      <alignment vertical="center"/>
    </xf>
    <xf numFmtId="177" fontId="13" fillId="0" borderId="0" xfId="0" applyNumberFormat="1" applyFont="1" applyProtection="1">
      <alignment vertical="center"/>
    </xf>
    <xf numFmtId="38" fontId="13" fillId="0" borderId="0" xfId="1" applyFont="1" applyAlignment="1" applyProtection="1">
      <alignment vertical="center" shrinkToFit="1"/>
    </xf>
    <xf numFmtId="176" fontId="13" fillId="0" borderId="0" xfId="0" applyNumberFormat="1" applyFont="1" applyProtection="1">
      <alignment vertical="center"/>
    </xf>
    <xf numFmtId="0" fontId="13" fillId="0" borderId="0" xfId="0" applyFont="1" applyFill="1" applyProtection="1">
      <alignment vertical="center"/>
    </xf>
    <xf numFmtId="38" fontId="13" fillId="0" borderId="11" xfId="1" applyFont="1" applyFill="1" applyBorder="1" applyProtection="1">
      <alignment vertical="center"/>
    </xf>
    <xf numFmtId="38" fontId="13" fillId="7" borderId="1" xfId="1" applyFont="1" applyFill="1" applyBorder="1" applyAlignment="1" applyProtection="1">
      <alignment vertical="center" shrinkToFit="1"/>
    </xf>
    <xf numFmtId="0" fontId="0" fillId="0" borderId="0" xfId="0" applyBorder="1" applyProtection="1">
      <alignment vertical="center"/>
    </xf>
    <xf numFmtId="178" fontId="6" fillId="0" borderId="0" xfId="0" applyNumberFormat="1" applyFont="1" applyAlignment="1" applyProtection="1">
      <alignment vertical="center"/>
    </xf>
    <xf numFmtId="178" fontId="6" fillId="0" borderId="0" xfId="0" applyNumberFormat="1" applyFont="1" applyAlignment="1" applyProtection="1">
      <alignment horizontal="right" vertical="center"/>
    </xf>
    <xf numFmtId="0" fontId="0" fillId="0" borderId="0" xfId="0" applyAlignment="1" applyProtection="1">
      <alignment horizontal="right" vertical="center"/>
    </xf>
    <xf numFmtId="0" fontId="6" fillId="0" borderId="0" xfId="0" applyFont="1" applyProtection="1">
      <alignment vertical="center"/>
    </xf>
    <xf numFmtId="0" fontId="17" fillId="0" borderId="0" xfId="0" applyFont="1" applyAlignment="1" applyProtection="1">
      <alignment horizontal="center" vertical="center"/>
    </xf>
    <xf numFmtId="0" fontId="6" fillId="0" borderId="0" xfId="0" applyFont="1" applyAlignment="1" applyProtection="1">
      <alignment horizontal="center" vertical="center"/>
    </xf>
    <xf numFmtId="0" fontId="0" fillId="0" borderId="0" xfId="0" applyAlignment="1" applyProtection="1">
      <alignment vertical="center" wrapText="1"/>
    </xf>
    <xf numFmtId="177" fontId="6" fillId="0" borderId="0" xfId="0" applyNumberFormat="1" applyFont="1" applyProtection="1">
      <alignment vertical="center"/>
    </xf>
    <xf numFmtId="177" fontId="0" fillId="0" borderId="0" xfId="0" applyNumberFormat="1" applyProtection="1">
      <alignment vertical="center"/>
    </xf>
    <xf numFmtId="0" fontId="6" fillId="0" borderId="0" xfId="0" applyFont="1" applyFill="1" applyBorder="1" applyProtection="1">
      <alignment vertical="center"/>
    </xf>
    <xf numFmtId="0" fontId="0" fillId="0" borderId="0" xfId="0" applyFill="1" applyBorder="1" applyProtection="1">
      <alignment vertical="center"/>
    </xf>
    <xf numFmtId="0" fontId="22" fillId="0" borderId="0" xfId="0" applyFont="1" applyAlignment="1" applyProtection="1">
      <alignment horizontal="center" vertical="center"/>
    </xf>
    <xf numFmtId="0" fontId="6" fillId="0" borderId="0" xfId="0" applyFont="1" applyFill="1" applyProtection="1">
      <alignment vertical="center"/>
    </xf>
    <xf numFmtId="0" fontId="0" fillId="0" borderId="0" xfId="0" applyFill="1" applyProtection="1">
      <alignment vertical="center"/>
    </xf>
    <xf numFmtId="9" fontId="0" fillId="0" borderId="0" xfId="0" applyNumberFormat="1" applyFill="1" applyBorder="1" applyProtection="1">
      <alignment vertical="center"/>
    </xf>
    <xf numFmtId="9" fontId="6" fillId="0" borderId="0" xfId="2" applyFont="1" applyFill="1" applyBorder="1" applyProtection="1">
      <alignment vertical="center"/>
    </xf>
    <xf numFmtId="0" fontId="0" fillId="0" borderId="0" xfId="0" applyFill="1" applyBorder="1" applyAlignment="1" applyProtection="1">
      <alignment horizontal="center" vertical="center" textRotation="255"/>
    </xf>
    <xf numFmtId="0" fontId="6" fillId="0" borderId="0" xfId="0" applyFont="1" applyBorder="1" applyProtection="1">
      <alignment vertical="center"/>
    </xf>
    <xf numFmtId="177" fontId="6" fillId="0" borderId="0" xfId="0" applyNumberFormat="1" applyFont="1" applyFill="1" applyBorder="1" applyProtection="1">
      <alignment vertical="center"/>
    </xf>
    <xf numFmtId="177" fontId="0" fillId="0" borderId="0" xfId="0" applyNumberFormat="1" applyFill="1" applyBorder="1" applyProtection="1">
      <alignment vertical="center"/>
    </xf>
    <xf numFmtId="0" fontId="19" fillId="0" borderId="0" xfId="0" applyFont="1" applyBorder="1" applyAlignment="1" applyProtection="1">
      <alignment horizontal="center" vertical="top" textRotation="255"/>
    </xf>
    <xf numFmtId="178" fontId="21" fillId="0" borderId="0" xfId="0" applyNumberFormat="1" applyFont="1" applyBorder="1" applyAlignment="1" applyProtection="1">
      <alignment horizontal="center" vertical="center" wrapText="1"/>
    </xf>
    <xf numFmtId="0" fontId="20" fillId="0" borderId="0" xfId="0" applyFont="1" applyBorder="1" applyAlignment="1" applyProtection="1">
      <alignment horizontal="left" vertical="center"/>
    </xf>
    <xf numFmtId="177" fontId="0" fillId="0" borderId="0" xfId="0" applyNumberFormat="1" applyFill="1" applyProtection="1">
      <alignment vertical="center"/>
    </xf>
    <xf numFmtId="0" fontId="20" fillId="0" borderId="0" xfId="0" applyFont="1" applyFill="1" applyBorder="1" applyAlignment="1" applyProtection="1">
      <alignment horizontal="left" vertical="center"/>
    </xf>
    <xf numFmtId="0" fontId="0" fillId="0" borderId="0" xfId="0" applyFill="1" applyBorder="1" applyAlignment="1" applyProtection="1">
      <alignment horizontal="center" vertical="center" textRotation="255" readingOrder="1"/>
    </xf>
    <xf numFmtId="0" fontId="6" fillId="0" borderId="0" xfId="0" applyFont="1" applyAlignment="1" applyProtection="1">
      <alignment vertical="center"/>
    </xf>
    <xf numFmtId="0" fontId="6" fillId="0" borderId="25" xfId="0" applyFont="1" applyBorder="1" applyProtection="1">
      <alignment vertical="center"/>
    </xf>
    <xf numFmtId="0" fontId="25" fillId="0" borderId="0" xfId="0" applyFont="1" applyAlignment="1" applyProtection="1">
      <alignment horizontal="right" vertical="center"/>
    </xf>
    <xf numFmtId="0" fontId="25" fillId="0" borderId="0" xfId="0" applyFont="1" applyFill="1" applyBorder="1" applyAlignment="1" applyProtection="1">
      <alignment horizontal="right" vertical="center"/>
    </xf>
    <xf numFmtId="0" fontId="17" fillId="0" borderId="0" xfId="0" applyFont="1" applyAlignment="1" applyProtection="1">
      <alignment vertical="center"/>
    </xf>
    <xf numFmtId="38" fontId="13" fillId="0" borderId="1" xfId="1" applyFont="1" applyFill="1" applyBorder="1" applyAlignment="1" applyProtection="1">
      <alignment vertical="center" shrinkToFit="1"/>
    </xf>
    <xf numFmtId="9" fontId="0" fillId="9" borderId="32" xfId="0" applyNumberFormat="1" applyFill="1" applyBorder="1" applyProtection="1">
      <alignment vertical="center"/>
      <protection locked="0"/>
    </xf>
    <xf numFmtId="0" fontId="0" fillId="9" borderId="1" xfId="0" applyFill="1" applyBorder="1" applyProtection="1">
      <alignment vertical="center"/>
      <protection locked="0"/>
    </xf>
    <xf numFmtId="9" fontId="0" fillId="9" borderId="1" xfId="2" applyFont="1" applyFill="1" applyBorder="1" applyProtection="1">
      <alignment vertical="center"/>
      <protection locked="0"/>
    </xf>
    <xf numFmtId="180" fontId="0" fillId="9" borderId="1" xfId="0" applyNumberFormat="1" applyFill="1" applyBorder="1" applyProtection="1">
      <alignment vertical="center"/>
      <protection locked="0"/>
    </xf>
    <xf numFmtId="0" fontId="14" fillId="10" borderId="1" xfId="0" applyFont="1" applyFill="1" applyBorder="1" applyAlignment="1" applyProtection="1">
      <alignment vertical="center" shrinkToFit="1"/>
    </xf>
    <xf numFmtId="38" fontId="13" fillId="10" borderId="1" xfId="1" applyFont="1" applyFill="1" applyBorder="1" applyProtection="1">
      <alignment vertical="center"/>
    </xf>
    <xf numFmtId="0" fontId="6" fillId="0" borderId="0" xfId="0" applyFont="1" applyAlignment="1" applyProtection="1">
      <alignment horizontal="right" vertical="center"/>
    </xf>
    <xf numFmtId="178" fontId="6" fillId="0" borderId="1" xfId="0" applyNumberFormat="1" applyFont="1" applyBorder="1" applyAlignment="1" applyProtection="1">
      <alignment horizontal="center" vertical="center"/>
    </xf>
    <xf numFmtId="178" fontId="6" fillId="0" borderId="0" xfId="0" applyNumberFormat="1" applyFont="1" applyBorder="1" applyAlignment="1" applyProtection="1">
      <alignment horizontal="right" vertical="center"/>
    </xf>
    <xf numFmtId="0" fontId="6" fillId="0" borderId="0" xfId="0" applyFont="1" applyFill="1" applyBorder="1" applyAlignment="1" applyProtection="1">
      <alignment horizontal="left" vertical="center"/>
    </xf>
    <xf numFmtId="0" fontId="6" fillId="0" borderId="0" xfId="0" applyFont="1" applyAlignment="1" applyProtection="1">
      <alignment horizontal="left" vertical="center"/>
    </xf>
    <xf numFmtId="0" fontId="23" fillId="0" borderId="0" xfId="0" applyFont="1">
      <alignment vertical="center"/>
    </xf>
    <xf numFmtId="0" fontId="0" fillId="0" borderId="0" xfId="0" applyAlignment="1" applyProtection="1">
      <alignment horizontal="center" vertical="center"/>
    </xf>
    <xf numFmtId="0" fontId="24" fillId="0" borderId="9" xfId="0" applyFont="1" applyBorder="1" applyAlignment="1">
      <alignment horizontal="center" vertical="center"/>
    </xf>
    <xf numFmtId="0" fontId="6" fillId="0" borderId="0" xfId="0" applyFont="1">
      <alignment vertical="center"/>
    </xf>
    <xf numFmtId="38" fontId="0" fillId="0" borderId="1" xfId="0" applyNumberFormat="1" applyBorder="1" applyAlignment="1" applyProtection="1">
      <alignment horizontal="center" vertical="center"/>
    </xf>
    <xf numFmtId="9" fontId="0" fillId="0" borderId="0" xfId="0" applyNumberFormat="1" applyBorder="1" applyProtection="1">
      <alignment vertical="center"/>
    </xf>
    <xf numFmtId="178" fontId="0" fillId="0" borderId="1" xfId="0" applyNumberFormat="1" applyBorder="1" applyAlignment="1" applyProtection="1">
      <alignment horizontal="center" vertical="center"/>
    </xf>
    <xf numFmtId="0" fontId="0" fillId="0" borderId="0" xfId="0" applyBorder="1" applyAlignment="1" applyProtection="1">
      <alignment horizontal="center" vertical="center"/>
    </xf>
    <xf numFmtId="38" fontId="0" fillId="0" borderId="0" xfId="0" applyNumberFormat="1" applyBorder="1" applyAlignment="1" applyProtection="1">
      <alignment horizontal="center" vertical="center"/>
    </xf>
    <xf numFmtId="178" fontId="6" fillId="0" borderId="10" xfId="0" applyNumberFormat="1" applyFont="1" applyBorder="1" applyAlignment="1" applyProtection="1">
      <alignment horizontal="center" vertical="center"/>
    </xf>
    <xf numFmtId="181" fontId="0" fillId="9" borderId="1" xfId="0" applyNumberFormat="1" applyFill="1" applyBorder="1" applyProtection="1">
      <alignment vertical="center"/>
      <protection locked="0"/>
    </xf>
    <xf numFmtId="38" fontId="6" fillId="0" borderId="0" xfId="1" applyFont="1" applyFill="1" applyBorder="1" applyProtection="1">
      <alignment vertical="center"/>
    </xf>
    <xf numFmtId="38" fontId="0" fillId="0" borderId="0" xfId="1" applyFont="1" applyFill="1" applyBorder="1" applyProtection="1">
      <alignment vertical="center"/>
    </xf>
    <xf numFmtId="0" fontId="6" fillId="0" borderId="1" xfId="0" applyFont="1" applyBorder="1" applyAlignment="1" applyProtection="1">
      <alignment horizontal="center" vertical="center"/>
    </xf>
    <xf numFmtId="0" fontId="14" fillId="3" borderId="25" xfId="0" applyFont="1" applyFill="1" applyBorder="1" applyAlignment="1" applyProtection="1">
      <alignment vertical="center"/>
    </xf>
    <xf numFmtId="0" fontId="11" fillId="0" borderId="25" xfId="0" applyFont="1" applyBorder="1" applyAlignment="1" applyProtection="1">
      <alignment vertical="center" shrinkToFit="1"/>
    </xf>
    <xf numFmtId="0" fontId="12" fillId="0" borderId="25" xfId="0" applyFont="1" applyBorder="1" applyAlignment="1" applyProtection="1">
      <alignment vertical="center" shrinkToFit="1"/>
    </xf>
    <xf numFmtId="0" fontId="6" fillId="0" borderId="1" xfId="0" applyFont="1" applyFill="1" applyBorder="1" applyAlignment="1" applyProtection="1">
      <alignment horizontal="center" vertical="center"/>
    </xf>
    <xf numFmtId="0" fontId="0" fillId="0" borderId="0" xfId="0"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wrapText="1"/>
    </xf>
    <xf numFmtId="178" fontId="6" fillId="0" borderId="10" xfId="0" applyNumberFormat="1" applyFont="1" applyFill="1" applyBorder="1" applyAlignment="1" applyProtection="1">
      <alignment horizontal="center" vertical="center"/>
    </xf>
    <xf numFmtId="0" fontId="24" fillId="0" borderId="4" xfId="0" applyFont="1" applyBorder="1" applyAlignment="1" applyProtection="1">
      <alignment vertical="center" wrapText="1"/>
    </xf>
    <xf numFmtId="177" fontId="6" fillId="0" borderId="0" xfId="0" applyNumberFormat="1" applyFont="1" applyFill="1" applyBorder="1" applyAlignment="1" applyProtection="1">
      <alignment horizontal="center" vertical="center"/>
    </xf>
    <xf numFmtId="9" fontId="25" fillId="0" borderId="0" xfId="0" applyNumberFormat="1" applyFont="1" applyFill="1" applyBorder="1" applyAlignment="1" applyProtection="1">
      <alignment horizontal="right" vertical="center"/>
    </xf>
    <xf numFmtId="0" fontId="0" fillId="0" borderId="5" xfId="0" applyBorder="1" applyProtection="1">
      <alignment vertical="center"/>
    </xf>
    <xf numFmtId="0" fontId="24" fillId="0" borderId="0" xfId="0" applyFont="1" applyFill="1" applyBorder="1" applyAlignment="1" applyProtection="1">
      <alignment horizontal="center" vertical="center"/>
    </xf>
    <xf numFmtId="180" fontId="0" fillId="0" borderId="0" xfId="0" applyNumberFormat="1" applyFill="1" applyBorder="1" applyProtection="1">
      <alignment vertical="center"/>
      <protection locked="0"/>
    </xf>
    <xf numFmtId="0" fontId="6" fillId="0" borderId="0" xfId="0" applyFont="1" applyFill="1" applyAlignment="1" applyProtection="1">
      <alignment horizontal="right" vertical="center"/>
    </xf>
    <xf numFmtId="0" fontId="6" fillId="9" borderId="1" xfId="0" applyFont="1" applyFill="1" applyBorder="1" applyProtection="1">
      <alignment vertical="center"/>
    </xf>
    <xf numFmtId="0" fontId="6" fillId="0" borderId="1" xfId="0" applyFont="1" applyFill="1" applyBorder="1" applyAlignment="1" applyProtection="1">
      <alignment vertical="center"/>
    </xf>
    <xf numFmtId="0" fontId="0" fillId="0" borderId="1" xfId="0" applyBorder="1" applyAlignment="1">
      <alignment horizontal="center" vertical="center"/>
    </xf>
    <xf numFmtId="0" fontId="20" fillId="0" borderId="0" xfId="0" applyFont="1" applyAlignment="1">
      <alignment horizontal="left" vertical="center"/>
    </xf>
    <xf numFmtId="178" fontId="21" fillId="0" borderId="0" xfId="0" applyNumberFormat="1" applyFont="1" applyAlignment="1">
      <alignment horizontal="center" vertical="center" wrapText="1"/>
    </xf>
    <xf numFmtId="0" fontId="0" fillId="0" borderId="0" xfId="0" applyAlignment="1">
      <alignment horizontal="left" vertical="center"/>
    </xf>
    <xf numFmtId="177" fontId="0" fillId="0" borderId="1" xfId="0" applyNumberFormat="1" applyBorder="1" applyAlignment="1">
      <alignment horizontal="center" vertical="center"/>
    </xf>
    <xf numFmtId="1" fontId="0" fillId="0" borderId="0" xfId="0" applyNumberFormat="1" applyAlignment="1">
      <alignment horizontal="center" vertical="center"/>
    </xf>
    <xf numFmtId="0" fontId="0" fillId="9" borderId="1" xfId="0" applyFill="1" applyBorder="1" applyAlignment="1">
      <alignment horizontal="center" vertical="center"/>
    </xf>
    <xf numFmtId="9" fontId="0" fillId="0" borderId="0" xfId="2" applyFont="1" applyProtection="1">
      <alignment vertical="center"/>
    </xf>
    <xf numFmtId="0" fontId="0" fillId="0" borderId="1" xfId="0" applyBorder="1" applyAlignment="1" applyProtection="1">
      <alignment horizontal="center" vertical="center"/>
    </xf>
    <xf numFmtId="0" fontId="6" fillId="0" borderId="0" xfId="0" applyFont="1" applyBorder="1" applyAlignment="1" applyProtection="1">
      <alignment horizontal="center" vertical="center"/>
    </xf>
    <xf numFmtId="0" fontId="24" fillId="0" borderId="1" xfId="0" applyFont="1" applyBorder="1" applyAlignment="1" applyProtection="1">
      <alignment horizontal="center" vertical="center"/>
    </xf>
    <xf numFmtId="0" fontId="6" fillId="0" borderId="0" xfId="0" applyFont="1" applyBorder="1" applyAlignment="1">
      <alignment horizontal="center" vertical="center" shrinkToFit="1"/>
    </xf>
    <xf numFmtId="38" fontId="0" fillId="0" borderId="0" xfId="1" applyFont="1" applyFill="1" applyBorder="1" applyAlignment="1" applyProtection="1">
      <alignment vertical="center"/>
    </xf>
    <xf numFmtId="0" fontId="6" fillId="0" borderId="9" xfId="0" applyFont="1" applyBorder="1" applyAlignment="1">
      <alignment vertical="center" shrinkToFit="1"/>
    </xf>
    <xf numFmtId="0" fontId="6" fillId="0" borderId="26" xfId="0" applyFont="1" applyBorder="1" applyAlignment="1">
      <alignment vertical="center" shrinkToFit="1"/>
    </xf>
    <xf numFmtId="0" fontId="6" fillId="0" borderId="30" xfId="0" applyFont="1" applyBorder="1" applyAlignment="1">
      <alignment vertical="center" shrinkToFit="1"/>
    </xf>
    <xf numFmtId="0" fontId="26" fillId="0" borderId="0" xfId="0" applyFont="1" applyAlignment="1" applyProtection="1">
      <alignment vertical="center" shrinkToFit="1"/>
    </xf>
    <xf numFmtId="0" fontId="6" fillId="0" borderId="0" xfId="0" applyFont="1" applyAlignment="1" applyProtection="1">
      <alignment vertical="center" wrapText="1"/>
    </xf>
    <xf numFmtId="0" fontId="24" fillId="0" borderId="1" xfId="0" applyFont="1" applyBorder="1" applyAlignment="1">
      <alignment horizontal="center" vertical="center"/>
    </xf>
    <xf numFmtId="0" fontId="6" fillId="0" borderId="1" xfId="0" applyFont="1" applyFill="1" applyBorder="1" applyAlignment="1" applyProtection="1">
      <alignment horizontal="center" vertical="center" shrinkToFit="1"/>
    </xf>
    <xf numFmtId="0" fontId="6" fillId="0" borderId="6" xfId="0" applyFont="1" applyBorder="1" applyAlignment="1" applyProtection="1">
      <alignment vertical="center"/>
    </xf>
    <xf numFmtId="0" fontId="6" fillId="0" borderId="0" xfId="0" applyFont="1" applyBorder="1" applyAlignment="1" applyProtection="1">
      <alignment vertical="center" wrapText="1"/>
    </xf>
    <xf numFmtId="178" fontId="16" fillId="4" borderId="1" xfId="0" applyNumberFormat="1" applyFont="1" applyFill="1" applyBorder="1" applyAlignment="1">
      <alignment horizontal="center" vertical="center"/>
    </xf>
    <xf numFmtId="178" fontId="16" fillId="4" borderId="1" xfId="0" applyNumberFormat="1" applyFont="1" applyFill="1" applyBorder="1" applyAlignment="1" applyProtection="1">
      <alignment horizontal="center" vertical="center"/>
    </xf>
    <xf numFmtId="178" fontId="16" fillId="4" borderId="1" xfId="0" applyNumberFormat="1" applyFont="1" applyFill="1" applyBorder="1" applyAlignment="1">
      <alignment horizontal="center" vertical="center" shrinkToFit="1"/>
    </xf>
    <xf numFmtId="178" fontId="16" fillId="4" borderId="1" xfId="0" applyNumberFormat="1" applyFont="1" applyFill="1" applyBorder="1" applyAlignment="1" applyProtection="1">
      <alignment horizontal="center" vertical="center" shrinkToFit="1"/>
    </xf>
    <xf numFmtId="0" fontId="14" fillId="0" borderId="8" xfId="0" applyFont="1" applyFill="1" applyBorder="1" applyAlignment="1" applyProtection="1">
      <alignment vertical="center" shrinkToFit="1"/>
    </xf>
    <xf numFmtId="0" fontId="16" fillId="0" borderId="8" xfId="0" applyFont="1" applyFill="1" applyBorder="1" applyAlignment="1" applyProtection="1">
      <alignment vertical="center" shrinkToFit="1"/>
    </xf>
    <xf numFmtId="0" fontId="14" fillId="0" borderId="4" xfId="0" applyFont="1" applyFill="1" applyBorder="1" applyAlignment="1" applyProtection="1">
      <alignment vertical="center" shrinkToFit="1"/>
    </xf>
    <xf numFmtId="178" fontId="29" fillId="12" borderId="1" xfId="0" applyNumberFormat="1" applyFont="1" applyFill="1" applyBorder="1" applyAlignment="1">
      <alignment horizontal="center" vertical="center"/>
    </xf>
    <xf numFmtId="178" fontId="29" fillId="12" borderId="1" xfId="0" applyNumberFormat="1" applyFont="1" applyFill="1" applyBorder="1" applyAlignment="1" applyProtection="1">
      <alignment horizontal="center" vertical="center"/>
    </xf>
    <xf numFmtId="0" fontId="0" fillId="13" borderId="1" xfId="0" applyFill="1" applyBorder="1">
      <alignment vertical="center"/>
    </xf>
    <xf numFmtId="38" fontId="0" fillId="13" borderId="1" xfId="1" applyNumberFormat="1" applyFont="1" applyFill="1" applyBorder="1" applyProtection="1">
      <alignment vertical="center"/>
    </xf>
    <xf numFmtId="38" fontId="0" fillId="13" borderId="1" xfId="1" applyFont="1" applyFill="1" applyBorder="1" applyProtection="1">
      <alignment vertical="center"/>
    </xf>
    <xf numFmtId="38" fontId="0" fillId="13" borderId="1" xfId="0" applyNumberFormat="1" applyFill="1" applyBorder="1">
      <alignment vertical="center"/>
    </xf>
    <xf numFmtId="9" fontId="6" fillId="13" borderId="1" xfId="2" applyFont="1" applyFill="1" applyBorder="1">
      <alignment vertical="center"/>
    </xf>
    <xf numFmtId="38" fontId="0" fillId="13" borderId="1" xfId="1" applyNumberFormat="1" applyFont="1" applyFill="1" applyBorder="1" applyAlignment="1" applyProtection="1">
      <alignment horizontal="right" vertical="center"/>
    </xf>
    <xf numFmtId="38" fontId="0" fillId="13" borderId="1" xfId="0" applyNumberFormat="1" applyFill="1" applyBorder="1" applyAlignment="1" applyProtection="1">
      <alignment horizontal="right" vertical="center"/>
    </xf>
    <xf numFmtId="38" fontId="6" fillId="9" borderId="1" xfId="1" applyFont="1" applyFill="1" applyBorder="1" applyAlignment="1" applyProtection="1">
      <alignment horizontal="right" vertical="center"/>
    </xf>
    <xf numFmtId="38" fontId="0" fillId="13" borderId="1" xfId="1" applyNumberFormat="1" applyFont="1" applyFill="1" applyBorder="1" applyAlignment="1" applyProtection="1">
      <alignment horizontal="right" vertical="center"/>
      <protection locked="0"/>
    </xf>
    <xf numFmtId="38" fontId="0" fillId="11" borderId="1" xfId="1" applyFont="1" applyFill="1" applyBorder="1" applyAlignment="1" applyProtection="1">
      <alignment horizontal="right" vertical="center"/>
      <protection locked="0"/>
    </xf>
    <xf numFmtId="38" fontId="6" fillId="11" borderId="1" xfId="1" applyFont="1" applyFill="1" applyBorder="1" applyAlignment="1" applyProtection="1">
      <alignment horizontal="right" vertical="center"/>
    </xf>
    <xf numFmtId="38" fontId="0" fillId="9" borderId="1" xfId="1" applyFont="1" applyFill="1" applyBorder="1" applyAlignment="1" applyProtection="1">
      <alignment horizontal="right" vertical="center"/>
      <protection locked="0"/>
    </xf>
    <xf numFmtId="177" fontId="6" fillId="9" borderId="1" xfId="0" applyNumberFormat="1" applyFont="1" applyFill="1" applyBorder="1" applyAlignment="1" applyProtection="1">
      <alignment horizontal="right" vertical="center"/>
      <protection locked="0"/>
    </xf>
    <xf numFmtId="38" fontId="0" fillId="9" borderId="1" xfId="1" applyFont="1" applyFill="1" applyBorder="1" applyAlignment="1" applyProtection="1">
      <alignment horizontal="right" vertical="center"/>
    </xf>
    <xf numFmtId="0" fontId="0" fillId="9" borderId="1" xfId="0" applyFill="1" applyBorder="1" applyAlignment="1">
      <alignment horizontal="right" vertical="center"/>
    </xf>
    <xf numFmtId="0" fontId="0" fillId="0" borderId="0" xfId="0" applyAlignment="1">
      <alignment horizontal="left" vertical="center" wrapText="1"/>
    </xf>
    <xf numFmtId="0" fontId="0" fillId="3" borderId="0" xfId="0" applyFill="1" applyBorder="1" applyAlignment="1">
      <alignment horizontal="left" vertical="center"/>
    </xf>
    <xf numFmtId="0" fontId="10" fillId="0" borderId="0" xfId="0" applyFont="1" applyAlignment="1">
      <alignment horizontal="center" vertical="center"/>
    </xf>
    <xf numFmtId="0" fontId="11" fillId="0" borderId="25" xfId="0" applyFont="1" applyBorder="1" applyAlignment="1">
      <alignment horizontal="left" vertical="center" shrinkToFit="1"/>
    </xf>
    <xf numFmtId="0" fontId="12" fillId="0" borderId="25" xfId="0" applyFont="1" applyBorder="1" applyAlignment="1">
      <alignment horizontal="left" vertical="center" shrinkToFit="1"/>
    </xf>
    <xf numFmtId="0" fontId="12" fillId="3" borderId="25" xfId="0" applyFont="1" applyFill="1" applyBorder="1" applyAlignment="1">
      <alignment horizontal="left" vertical="center" shrinkToFit="1"/>
    </xf>
    <xf numFmtId="0" fontId="0" fillId="0" borderId="0" xfId="0" applyBorder="1" applyAlignment="1">
      <alignment horizontal="left" vertical="center" shrinkToFit="1"/>
    </xf>
    <xf numFmtId="0" fontId="0" fillId="3" borderId="0" xfId="0" applyFill="1" applyBorder="1" applyAlignment="1">
      <alignment horizontal="center" vertical="center"/>
    </xf>
    <xf numFmtId="0" fontId="19" fillId="0" borderId="26" xfId="0" applyFont="1" applyBorder="1" applyAlignment="1">
      <alignment horizontal="center" vertical="top" textRotation="255"/>
    </xf>
    <xf numFmtId="0" fontId="19" fillId="0" borderId="30" xfId="0" applyFont="1" applyBorder="1" applyAlignment="1">
      <alignment horizontal="center" vertical="top" textRotation="255"/>
    </xf>
    <xf numFmtId="0" fontId="0" fillId="0" borderId="10" xfId="0" applyBorder="1" applyAlignment="1">
      <alignment horizontal="center" vertical="center" textRotation="255" readingOrder="1"/>
    </xf>
    <xf numFmtId="0" fontId="0" fillId="0" borderId="26" xfId="0" applyBorder="1" applyAlignment="1">
      <alignment horizontal="center" vertical="center" textRotation="255" readingOrder="1"/>
    </xf>
    <xf numFmtId="0" fontId="0" fillId="0" borderId="30" xfId="0" applyBorder="1" applyAlignment="1">
      <alignment horizontal="center" vertical="center" textRotation="255" readingOrder="1"/>
    </xf>
    <xf numFmtId="0" fontId="27" fillId="0" borderId="0" xfId="0" applyFont="1" applyAlignment="1" applyProtection="1">
      <alignment horizontal="center" vertical="center"/>
    </xf>
    <xf numFmtId="0" fontId="8" fillId="3" borderId="0" xfId="0" applyFont="1" applyFill="1" applyBorder="1" applyAlignment="1" applyProtection="1">
      <alignment horizontal="left" vertical="center" shrinkToFit="1"/>
    </xf>
    <xf numFmtId="0" fontId="8" fillId="3" borderId="25" xfId="0" applyFont="1" applyFill="1" applyBorder="1" applyAlignment="1" applyProtection="1">
      <alignment horizontal="left" vertical="center" shrinkToFit="1"/>
    </xf>
    <xf numFmtId="0" fontId="8" fillId="0" borderId="0" xfId="0" applyFont="1" applyBorder="1" applyAlignment="1" applyProtection="1">
      <alignment horizontal="left" vertical="center" shrinkToFit="1"/>
    </xf>
    <xf numFmtId="0" fontId="8" fillId="0" borderId="25" xfId="0" applyFont="1" applyBorder="1" applyAlignment="1" applyProtection="1">
      <alignment horizontal="left" vertical="center" shrinkToFit="1"/>
    </xf>
    <xf numFmtId="0" fontId="6" fillId="0" borderId="9"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9"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0" fillId="0" borderId="9" xfId="0" applyBorder="1" applyAlignment="1" applyProtection="1">
      <alignment horizontal="center" vertical="center"/>
    </xf>
    <xf numFmtId="0" fontId="0" fillId="0" borderId="12" xfId="0" applyBorder="1" applyAlignment="1" applyProtection="1">
      <alignment horizontal="center" vertical="center"/>
    </xf>
    <xf numFmtId="0" fontId="6" fillId="0" borderId="9" xfId="0" applyFont="1" applyBorder="1" applyAlignment="1" applyProtection="1">
      <alignment horizontal="center" vertical="center"/>
    </xf>
    <xf numFmtId="0" fontId="6" fillId="0" borderId="12" xfId="0" applyFont="1" applyBorder="1" applyAlignment="1" applyProtection="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177" fontId="0" fillId="0" borderId="1" xfId="0" applyNumberFormat="1" applyFill="1" applyBorder="1" applyAlignment="1" applyProtection="1">
      <alignment horizontal="center" vertical="center"/>
    </xf>
    <xf numFmtId="0" fontId="6" fillId="0" borderId="2" xfId="0" applyFont="1" applyBorder="1" applyAlignment="1">
      <alignment horizontal="center" vertical="center" shrinkToFit="1"/>
    </xf>
    <xf numFmtId="178" fontId="6" fillId="0" borderId="10" xfId="0" applyNumberFormat="1" applyFont="1" applyBorder="1" applyAlignment="1" applyProtection="1">
      <alignment horizontal="center" vertical="center"/>
    </xf>
    <xf numFmtId="178" fontId="6" fillId="0" borderId="26" xfId="0" applyNumberFormat="1" applyFont="1" applyBorder="1" applyAlignment="1" applyProtection="1">
      <alignment horizontal="center" vertical="center"/>
    </xf>
    <xf numFmtId="178" fontId="6" fillId="0" borderId="30" xfId="0" applyNumberFormat="1" applyFont="1" applyBorder="1" applyAlignment="1" applyProtection="1">
      <alignment horizontal="center" vertical="center"/>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0" borderId="26" xfId="0" applyBorder="1" applyAlignment="1">
      <alignment horizontal="center" vertical="center" textRotation="255"/>
    </xf>
    <xf numFmtId="0" fontId="0" fillId="0" borderId="30" xfId="0" applyBorder="1" applyAlignment="1">
      <alignment horizontal="center" vertical="center" textRotation="255"/>
    </xf>
    <xf numFmtId="0" fontId="0" fillId="0" borderId="11" xfId="0" applyBorder="1" applyAlignment="1" applyProtection="1">
      <alignment horizontal="center" vertical="center"/>
    </xf>
    <xf numFmtId="0" fontId="0" fillId="0" borderId="1" xfId="0" applyBorder="1" applyAlignment="1" applyProtection="1">
      <alignment horizontal="center" vertical="center"/>
    </xf>
    <xf numFmtId="0" fontId="8" fillId="0" borderId="25" xfId="0" applyFont="1" applyBorder="1" applyAlignment="1">
      <alignment horizontal="left" vertical="center" shrinkToFit="1"/>
    </xf>
    <xf numFmtId="0" fontId="8" fillId="3" borderId="25" xfId="0" applyFont="1" applyFill="1" applyBorder="1" applyAlignment="1">
      <alignment horizontal="left" vertical="center" shrinkToFit="1"/>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6" fillId="0" borderId="7" xfId="0" applyFont="1" applyBorder="1" applyAlignment="1">
      <alignment horizontal="left" vertical="center" wrapText="1"/>
    </xf>
    <xf numFmtId="0" fontId="0" fillId="0" borderId="25" xfId="0" applyBorder="1" applyAlignment="1">
      <alignment horizontal="left" vertical="center"/>
    </xf>
    <xf numFmtId="0" fontId="0" fillId="0" borderId="8" xfId="0"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0" fillId="0" borderId="8" xfId="0" applyBorder="1" applyAlignment="1">
      <alignment horizontal="center" vertical="center"/>
    </xf>
    <xf numFmtId="0" fontId="2" fillId="0" borderId="1" xfId="0" applyFont="1" applyBorder="1" applyAlignment="1">
      <alignment horizontal="center" vertical="center" wrapText="1"/>
    </xf>
  </cellXfs>
  <cellStyles count="7">
    <cellStyle name="パーセント" xfId="2" builtinId="5"/>
    <cellStyle name="パーセント 2" xfId="3" xr:uid="{1BA13208-408F-4E21-9AF2-7C45DDC3B78A}"/>
    <cellStyle name="桁区切り" xfId="1" builtinId="6"/>
    <cellStyle name="桁区切り 2" xfId="4" xr:uid="{7BB20C9E-A6F0-42EE-999C-382BF9393186}"/>
    <cellStyle name="標準" xfId="0" builtinId="0"/>
    <cellStyle name="標準 2" xfId="5" xr:uid="{061DF404-EF99-4BA1-9E82-4AA6437D719E}"/>
    <cellStyle name="標準 3" xfId="6" xr:uid="{C50C7F10-5CB8-4F1B-94CF-AAB76F2A17EC}"/>
  </cellStyles>
  <dxfs count="8">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66"/>
      <color rgb="FFFFF2CC"/>
      <color rgb="FFCCFF99"/>
      <color rgb="FFE8F5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A1FCC42-1E6A-44FD-987A-48007E391BD6}" type="doc">
      <dgm:prSet loTypeId="urn:microsoft.com/office/officeart/2005/8/layout/cycle7" loCatId="cycle" qsTypeId="urn:microsoft.com/office/officeart/2005/8/quickstyle/simple1" qsCatId="simple" csTypeId="urn:microsoft.com/office/officeart/2005/8/colors/accent1_2" csCatId="accent1" phldr="1"/>
      <dgm:spPr/>
      <dgm:t>
        <a:bodyPr/>
        <a:lstStyle/>
        <a:p>
          <a:endParaRPr kumimoji="1" lang="ja-JP" altLang="en-US"/>
        </a:p>
      </dgm:t>
    </dgm:pt>
    <dgm:pt modelId="{E6A51CA9-9526-438A-95A4-B4EEA7BDD0FC}">
      <dgm:prSet phldrT="[テキスト]" custT="1"/>
      <dgm:spPr/>
      <dgm:t>
        <a:bodyPr/>
        <a:lstStyle/>
        <a:p>
          <a:r>
            <a:rPr kumimoji="1" lang="ja-JP" altLang="en-US" sz="4000" b="1">
              <a:solidFill>
                <a:schemeClr val="tx1"/>
              </a:solidFill>
              <a:latin typeface="ＭＳ ゴシック" panose="020B0609070205080204" pitchFamily="49" charset="-128"/>
              <a:ea typeface="ＭＳ ゴシック" panose="020B0609070205080204" pitchFamily="49" charset="-128"/>
            </a:rPr>
            <a:t>信用保証協会</a:t>
          </a:r>
        </a:p>
      </dgm:t>
    </dgm:pt>
    <dgm:pt modelId="{1F02A2AD-AFBF-47E5-937D-EDCEF4C6456A}" type="sibTrans" cxnId="{7A359F39-C41A-4B8A-A60A-30F8298E84D7}">
      <dgm:prSet/>
      <dgm:spPr/>
      <dgm:t>
        <a:bodyPr/>
        <a:lstStyle/>
        <a:p>
          <a:endParaRPr kumimoji="1" lang="ja-JP" altLang="en-US"/>
        </a:p>
      </dgm:t>
    </dgm:pt>
    <dgm:pt modelId="{7DDA7E9E-E85F-442E-AF67-E49433E673A2}" type="parTrans" cxnId="{7A359F39-C41A-4B8A-A60A-30F8298E84D7}">
      <dgm:prSet/>
      <dgm:spPr/>
      <dgm:t>
        <a:bodyPr/>
        <a:lstStyle/>
        <a:p>
          <a:endParaRPr kumimoji="1" lang="ja-JP" altLang="en-US"/>
        </a:p>
      </dgm:t>
    </dgm:pt>
    <dgm:pt modelId="{A9BFBC4A-09CD-4DD0-9B01-78E2B27072F6}">
      <dgm:prSet phldrT="[テキスト]" custT="1"/>
      <dgm:spPr/>
      <dgm:t>
        <a:bodyPr/>
        <a:lstStyle/>
        <a:p>
          <a:r>
            <a:rPr kumimoji="1" lang="ja-JP" altLang="en-US" sz="4000" b="1">
              <a:solidFill>
                <a:schemeClr val="tx1"/>
              </a:solidFill>
              <a:latin typeface="ＭＳ ゴシック" panose="020B0609070205080204" pitchFamily="49" charset="-128"/>
              <a:ea typeface="ＭＳ ゴシック" panose="020B0609070205080204" pitchFamily="49" charset="-128"/>
            </a:rPr>
            <a:t>中小企業診断士</a:t>
          </a:r>
        </a:p>
      </dgm:t>
    </dgm:pt>
    <dgm:pt modelId="{0A4C09AF-6380-495C-975A-E12B255B0465}" type="sibTrans" cxnId="{8D7BFD59-988D-45B1-9140-73AA75F860CD}">
      <dgm:prSet/>
      <dgm:spPr/>
      <dgm:t>
        <a:bodyPr/>
        <a:lstStyle/>
        <a:p>
          <a:endParaRPr kumimoji="1" lang="ja-JP" altLang="en-US"/>
        </a:p>
      </dgm:t>
    </dgm:pt>
    <dgm:pt modelId="{A6A52B93-ABA6-4D52-B7CD-5CF6ACC83128}" type="parTrans" cxnId="{8D7BFD59-988D-45B1-9140-73AA75F860CD}">
      <dgm:prSet/>
      <dgm:spPr/>
      <dgm:t>
        <a:bodyPr/>
        <a:lstStyle/>
        <a:p>
          <a:endParaRPr kumimoji="1" lang="ja-JP" altLang="en-US"/>
        </a:p>
      </dgm:t>
    </dgm:pt>
    <dgm:pt modelId="{EDC8F0F6-DA3B-4506-B75D-CFF6B37CB86F}">
      <dgm:prSet phldrT="[テキスト]" custT="1"/>
      <dgm:spPr/>
      <dgm:t>
        <a:bodyPr/>
        <a:lstStyle/>
        <a:p>
          <a:r>
            <a:rPr kumimoji="1" lang="ja-JP" altLang="en-US" sz="4000" b="1">
              <a:solidFill>
                <a:schemeClr val="tx1"/>
              </a:solidFill>
              <a:latin typeface="ＭＳ ゴシック" panose="020B0609070205080204" pitchFamily="49" charset="-128"/>
              <a:ea typeface="ＭＳ ゴシック" panose="020B0609070205080204" pitchFamily="49" charset="-128"/>
            </a:rPr>
            <a:t>中小企業者</a:t>
          </a:r>
        </a:p>
      </dgm:t>
    </dgm:pt>
    <dgm:pt modelId="{D469D994-0E09-4E6E-996E-BFB1D93CA1AA}" type="sibTrans" cxnId="{5DFF85D1-D644-4490-A953-914E1359F14B}">
      <dgm:prSet/>
      <dgm:spPr/>
      <dgm:t>
        <a:bodyPr/>
        <a:lstStyle/>
        <a:p>
          <a:endParaRPr kumimoji="1" lang="ja-JP" altLang="en-US"/>
        </a:p>
      </dgm:t>
    </dgm:pt>
    <dgm:pt modelId="{61956397-3513-4F4A-AAD6-B8F1861D43B8}" type="parTrans" cxnId="{5DFF85D1-D644-4490-A953-914E1359F14B}">
      <dgm:prSet/>
      <dgm:spPr/>
      <dgm:t>
        <a:bodyPr/>
        <a:lstStyle/>
        <a:p>
          <a:endParaRPr kumimoji="1" lang="ja-JP" altLang="en-US"/>
        </a:p>
      </dgm:t>
    </dgm:pt>
    <dgm:pt modelId="{85C134EB-B1B4-4A88-8A98-2F7464E762EE}" type="pres">
      <dgm:prSet presAssocID="{6A1FCC42-1E6A-44FD-987A-48007E391BD6}" presName="Name0" presStyleCnt="0">
        <dgm:presLayoutVars>
          <dgm:dir/>
          <dgm:resizeHandles val="exact"/>
        </dgm:presLayoutVars>
      </dgm:prSet>
      <dgm:spPr/>
    </dgm:pt>
    <dgm:pt modelId="{C2A0AE77-CC61-4676-979C-D08E3D788CE5}" type="pres">
      <dgm:prSet presAssocID="{EDC8F0F6-DA3B-4506-B75D-CFF6B37CB86F}" presName="node" presStyleLbl="node1" presStyleIdx="0" presStyleCnt="3" custRadScaleRad="94713" custRadScaleInc="2437">
        <dgm:presLayoutVars>
          <dgm:bulletEnabled val="1"/>
        </dgm:presLayoutVars>
      </dgm:prSet>
      <dgm:spPr/>
    </dgm:pt>
    <dgm:pt modelId="{36B9639B-687C-488C-8869-CEE50604DA4A}" type="pres">
      <dgm:prSet presAssocID="{D469D994-0E09-4E6E-996E-BFB1D93CA1AA}" presName="sibTrans" presStyleLbl="sibTrans2D1" presStyleIdx="0" presStyleCnt="3" custAng="10731397"/>
      <dgm:spPr>
        <a:prstGeom prst="rightArrow">
          <a:avLst/>
        </a:prstGeom>
      </dgm:spPr>
    </dgm:pt>
    <dgm:pt modelId="{2B727CEB-5D68-43FA-BDCE-25121A057A7F}" type="pres">
      <dgm:prSet presAssocID="{D469D994-0E09-4E6E-996E-BFB1D93CA1AA}" presName="connectorText" presStyleLbl="sibTrans2D1" presStyleIdx="0" presStyleCnt="3"/>
      <dgm:spPr/>
    </dgm:pt>
    <dgm:pt modelId="{3D1D920A-9F9D-40EA-B212-44FBC0398696}" type="pres">
      <dgm:prSet presAssocID="{A9BFBC4A-09CD-4DD0-9B01-78E2B27072F6}" presName="node" presStyleLbl="node1" presStyleIdx="1" presStyleCnt="3" custRadScaleRad="101036" custRadScaleInc="-20555">
        <dgm:presLayoutVars>
          <dgm:bulletEnabled val="1"/>
        </dgm:presLayoutVars>
      </dgm:prSet>
      <dgm:spPr/>
    </dgm:pt>
    <dgm:pt modelId="{10A86DCC-342A-443C-A8D3-E6E5FAC11259}" type="pres">
      <dgm:prSet presAssocID="{0A4C09AF-6380-495C-975A-E12B255B0465}" presName="sibTrans" presStyleLbl="sibTrans2D1" presStyleIdx="1" presStyleCnt="3"/>
      <dgm:spPr/>
    </dgm:pt>
    <dgm:pt modelId="{7D7C5EC7-E04A-4E1E-87B3-0B8A4B320F33}" type="pres">
      <dgm:prSet presAssocID="{0A4C09AF-6380-495C-975A-E12B255B0465}" presName="connectorText" presStyleLbl="sibTrans2D1" presStyleIdx="1" presStyleCnt="3"/>
      <dgm:spPr/>
    </dgm:pt>
    <dgm:pt modelId="{1BF81F32-F900-4E31-A8CA-3FBC04DB1C2B}" type="pres">
      <dgm:prSet presAssocID="{E6A51CA9-9526-438A-95A4-B4EEA7BDD0FC}" presName="node" presStyleLbl="node1" presStyleIdx="2" presStyleCnt="3" custRadScaleRad="103713" custRadScaleInc="23198">
        <dgm:presLayoutVars>
          <dgm:bulletEnabled val="1"/>
        </dgm:presLayoutVars>
      </dgm:prSet>
      <dgm:spPr/>
    </dgm:pt>
    <dgm:pt modelId="{EAC686BD-CF22-432D-A921-A09D86911C62}" type="pres">
      <dgm:prSet presAssocID="{1F02A2AD-AFBF-47E5-937D-EDCEF4C6456A}" presName="sibTrans" presStyleLbl="sibTrans2D1" presStyleIdx="2" presStyleCnt="3"/>
      <dgm:spPr>
        <a:prstGeom prst="rightArrow">
          <a:avLst/>
        </a:prstGeom>
      </dgm:spPr>
    </dgm:pt>
    <dgm:pt modelId="{4CEBDC98-2BCE-4515-957D-7EE76ECB9F9D}" type="pres">
      <dgm:prSet presAssocID="{1F02A2AD-AFBF-47E5-937D-EDCEF4C6456A}" presName="connectorText" presStyleLbl="sibTrans2D1" presStyleIdx="2" presStyleCnt="3"/>
      <dgm:spPr/>
    </dgm:pt>
  </dgm:ptLst>
  <dgm:cxnLst>
    <dgm:cxn modelId="{21545903-B4D8-42F6-9783-BD2F5C8CBF2A}" type="presOf" srcId="{D469D994-0E09-4E6E-996E-BFB1D93CA1AA}" destId="{36B9639B-687C-488C-8869-CEE50604DA4A}" srcOrd="0" destOrd="0" presId="urn:microsoft.com/office/officeart/2005/8/layout/cycle7"/>
    <dgm:cxn modelId="{748E7506-58A0-4F47-934C-7C057C9C0F85}" type="presOf" srcId="{0A4C09AF-6380-495C-975A-E12B255B0465}" destId="{7D7C5EC7-E04A-4E1E-87B3-0B8A4B320F33}" srcOrd="1" destOrd="0" presId="urn:microsoft.com/office/officeart/2005/8/layout/cycle7"/>
    <dgm:cxn modelId="{5408CD18-54B6-49AC-B89B-4E9FE3733DE0}" type="presOf" srcId="{1F02A2AD-AFBF-47E5-937D-EDCEF4C6456A}" destId="{EAC686BD-CF22-432D-A921-A09D86911C62}" srcOrd="0" destOrd="0" presId="urn:microsoft.com/office/officeart/2005/8/layout/cycle7"/>
    <dgm:cxn modelId="{9639112C-CEE7-4CF5-99BB-E7EFFE7FE443}" type="presOf" srcId="{0A4C09AF-6380-495C-975A-E12B255B0465}" destId="{10A86DCC-342A-443C-A8D3-E6E5FAC11259}" srcOrd="0" destOrd="0" presId="urn:microsoft.com/office/officeart/2005/8/layout/cycle7"/>
    <dgm:cxn modelId="{7A359F39-C41A-4B8A-A60A-30F8298E84D7}" srcId="{6A1FCC42-1E6A-44FD-987A-48007E391BD6}" destId="{E6A51CA9-9526-438A-95A4-B4EEA7BDD0FC}" srcOrd="2" destOrd="0" parTransId="{7DDA7E9E-E85F-442E-AF67-E49433E673A2}" sibTransId="{1F02A2AD-AFBF-47E5-937D-EDCEF4C6456A}"/>
    <dgm:cxn modelId="{72BF745D-B291-4647-BD3B-BE79F92C87F3}" type="presOf" srcId="{E6A51CA9-9526-438A-95A4-B4EEA7BDD0FC}" destId="{1BF81F32-F900-4E31-A8CA-3FBC04DB1C2B}" srcOrd="0" destOrd="0" presId="urn:microsoft.com/office/officeart/2005/8/layout/cycle7"/>
    <dgm:cxn modelId="{8D7BFD59-988D-45B1-9140-73AA75F860CD}" srcId="{6A1FCC42-1E6A-44FD-987A-48007E391BD6}" destId="{A9BFBC4A-09CD-4DD0-9B01-78E2B27072F6}" srcOrd="1" destOrd="0" parTransId="{A6A52B93-ABA6-4D52-B7CD-5CF6ACC83128}" sibTransId="{0A4C09AF-6380-495C-975A-E12B255B0465}"/>
    <dgm:cxn modelId="{0840C67E-208D-44DB-97B3-DC694260FA16}" type="presOf" srcId="{A9BFBC4A-09CD-4DD0-9B01-78E2B27072F6}" destId="{3D1D920A-9F9D-40EA-B212-44FBC0398696}" srcOrd="0" destOrd="0" presId="urn:microsoft.com/office/officeart/2005/8/layout/cycle7"/>
    <dgm:cxn modelId="{C2E8328F-CAA2-4955-B991-2021EF7619AF}" type="presOf" srcId="{6A1FCC42-1E6A-44FD-987A-48007E391BD6}" destId="{85C134EB-B1B4-4A88-8A98-2F7464E762EE}" srcOrd="0" destOrd="0" presId="urn:microsoft.com/office/officeart/2005/8/layout/cycle7"/>
    <dgm:cxn modelId="{7749B4A7-E293-44A7-B8BE-1FC7B32A73CB}" type="presOf" srcId="{1F02A2AD-AFBF-47E5-937D-EDCEF4C6456A}" destId="{4CEBDC98-2BCE-4515-957D-7EE76ECB9F9D}" srcOrd="1" destOrd="0" presId="urn:microsoft.com/office/officeart/2005/8/layout/cycle7"/>
    <dgm:cxn modelId="{8C9967BB-1AFF-44F6-9642-323762CD982E}" type="presOf" srcId="{D469D994-0E09-4E6E-996E-BFB1D93CA1AA}" destId="{2B727CEB-5D68-43FA-BDCE-25121A057A7F}" srcOrd="1" destOrd="0" presId="urn:microsoft.com/office/officeart/2005/8/layout/cycle7"/>
    <dgm:cxn modelId="{B4A8B4CB-9BAC-4CA6-966D-4D461ED230AE}" type="presOf" srcId="{EDC8F0F6-DA3B-4506-B75D-CFF6B37CB86F}" destId="{C2A0AE77-CC61-4676-979C-D08E3D788CE5}" srcOrd="0" destOrd="0" presId="urn:microsoft.com/office/officeart/2005/8/layout/cycle7"/>
    <dgm:cxn modelId="{5DFF85D1-D644-4490-A953-914E1359F14B}" srcId="{6A1FCC42-1E6A-44FD-987A-48007E391BD6}" destId="{EDC8F0F6-DA3B-4506-B75D-CFF6B37CB86F}" srcOrd="0" destOrd="0" parTransId="{61956397-3513-4F4A-AAD6-B8F1861D43B8}" sibTransId="{D469D994-0E09-4E6E-996E-BFB1D93CA1AA}"/>
    <dgm:cxn modelId="{E82BBF6F-D8FF-4FBA-9E41-49F509C5B6EC}" type="presParOf" srcId="{85C134EB-B1B4-4A88-8A98-2F7464E762EE}" destId="{C2A0AE77-CC61-4676-979C-D08E3D788CE5}" srcOrd="0" destOrd="0" presId="urn:microsoft.com/office/officeart/2005/8/layout/cycle7"/>
    <dgm:cxn modelId="{6C6E7C1F-E997-48E7-9D31-AFA7B679E8D7}" type="presParOf" srcId="{85C134EB-B1B4-4A88-8A98-2F7464E762EE}" destId="{36B9639B-687C-488C-8869-CEE50604DA4A}" srcOrd="1" destOrd="0" presId="urn:microsoft.com/office/officeart/2005/8/layout/cycle7"/>
    <dgm:cxn modelId="{A50A7C91-C169-4112-AA4B-27297730DA1B}" type="presParOf" srcId="{36B9639B-687C-488C-8869-CEE50604DA4A}" destId="{2B727CEB-5D68-43FA-BDCE-25121A057A7F}" srcOrd="0" destOrd="0" presId="urn:microsoft.com/office/officeart/2005/8/layout/cycle7"/>
    <dgm:cxn modelId="{017F56A1-7409-4F3B-A5FD-EB2C7E52BEF7}" type="presParOf" srcId="{85C134EB-B1B4-4A88-8A98-2F7464E762EE}" destId="{3D1D920A-9F9D-40EA-B212-44FBC0398696}" srcOrd="2" destOrd="0" presId="urn:microsoft.com/office/officeart/2005/8/layout/cycle7"/>
    <dgm:cxn modelId="{B57E3E8C-47BD-4DDE-9621-5367B376FE79}" type="presParOf" srcId="{85C134EB-B1B4-4A88-8A98-2F7464E762EE}" destId="{10A86DCC-342A-443C-A8D3-E6E5FAC11259}" srcOrd="3" destOrd="0" presId="urn:microsoft.com/office/officeart/2005/8/layout/cycle7"/>
    <dgm:cxn modelId="{30D2D2CE-D71A-48B3-8E92-5CE5B392FDE0}" type="presParOf" srcId="{10A86DCC-342A-443C-A8D3-E6E5FAC11259}" destId="{7D7C5EC7-E04A-4E1E-87B3-0B8A4B320F33}" srcOrd="0" destOrd="0" presId="urn:microsoft.com/office/officeart/2005/8/layout/cycle7"/>
    <dgm:cxn modelId="{A386EECA-7A1D-41BC-9E30-0BE3E7173B8A}" type="presParOf" srcId="{85C134EB-B1B4-4A88-8A98-2F7464E762EE}" destId="{1BF81F32-F900-4E31-A8CA-3FBC04DB1C2B}" srcOrd="4" destOrd="0" presId="urn:microsoft.com/office/officeart/2005/8/layout/cycle7"/>
    <dgm:cxn modelId="{83BB6F27-5C9C-4758-92F1-5EB42F8F2DCB}" type="presParOf" srcId="{85C134EB-B1B4-4A88-8A98-2F7464E762EE}" destId="{EAC686BD-CF22-432D-A921-A09D86911C62}" srcOrd="5" destOrd="0" presId="urn:microsoft.com/office/officeart/2005/8/layout/cycle7"/>
    <dgm:cxn modelId="{A0C34116-5291-4032-9A1D-B0E51B7A9524}" type="presParOf" srcId="{EAC686BD-CF22-432D-A921-A09D86911C62}" destId="{4CEBDC98-2BCE-4515-957D-7EE76ECB9F9D}" srcOrd="0" destOrd="0" presId="urn:microsoft.com/office/officeart/2005/8/layout/cycle7"/>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2A0AE77-CC61-4676-979C-D08E3D788CE5}">
      <dsp:nvSpPr>
        <dsp:cNvPr id="0" name=""/>
        <dsp:cNvSpPr/>
      </dsp:nvSpPr>
      <dsp:spPr>
        <a:xfrm>
          <a:off x="6238901" y="227998"/>
          <a:ext cx="4461182" cy="223059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0" tIns="152400" rIns="152400" bIns="152400" numCol="1" spcCol="1270" anchor="ctr" anchorCtr="0">
          <a:noAutofit/>
        </a:bodyPr>
        <a:lstStyle/>
        <a:p>
          <a:pPr marL="0" lvl="0" indent="0" algn="ctr" defTabSz="1778000">
            <a:lnSpc>
              <a:spcPct val="90000"/>
            </a:lnSpc>
            <a:spcBef>
              <a:spcPct val="0"/>
            </a:spcBef>
            <a:spcAft>
              <a:spcPct val="35000"/>
            </a:spcAft>
            <a:buNone/>
          </a:pPr>
          <a:r>
            <a:rPr kumimoji="1" lang="ja-JP" altLang="en-US" sz="4000" b="1" kern="1200">
              <a:solidFill>
                <a:schemeClr val="tx1"/>
              </a:solidFill>
              <a:latin typeface="ＭＳ ゴシック" panose="020B0609070205080204" pitchFamily="49" charset="-128"/>
              <a:ea typeface="ＭＳ ゴシック" panose="020B0609070205080204" pitchFamily="49" charset="-128"/>
            </a:rPr>
            <a:t>中小企業者</a:t>
          </a:r>
        </a:p>
      </dsp:txBody>
      <dsp:txXfrm>
        <a:off x="6304233" y="293330"/>
        <a:ext cx="4330518" cy="2099927"/>
      </dsp:txXfrm>
    </dsp:sp>
    <dsp:sp modelId="{36B9639B-687C-488C-8869-CEE50604DA4A}">
      <dsp:nvSpPr>
        <dsp:cNvPr id="0" name=""/>
        <dsp:cNvSpPr/>
      </dsp:nvSpPr>
      <dsp:spPr>
        <a:xfrm rot="13921922">
          <a:off x="8917321" y="3616984"/>
          <a:ext cx="3093827" cy="780706"/>
        </a:xfrm>
        <a:prstGeom prst="rightArrow">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1466850">
            <a:lnSpc>
              <a:spcPct val="90000"/>
            </a:lnSpc>
            <a:spcBef>
              <a:spcPct val="0"/>
            </a:spcBef>
            <a:spcAft>
              <a:spcPct val="35000"/>
            </a:spcAft>
            <a:buNone/>
          </a:pPr>
          <a:endParaRPr kumimoji="1" lang="ja-JP" altLang="en-US" sz="3300" kern="1200"/>
        </a:p>
      </dsp:txBody>
      <dsp:txXfrm>
        <a:off x="9151533" y="3773125"/>
        <a:ext cx="2625403" cy="468424"/>
      </dsp:txXfrm>
    </dsp:sp>
    <dsp:sp modelId="{3D1D920A-9F9D-40EA-B212-44FBC0398696}">
      <dsp:nvSpPr>
        <dsp:cNvPr id="0" name=""/>
        <dsp:cNvSpPr/>
      </dsp:nvSpPr>
      <dsp:spPr>
        <a:xfrm>
          <a:off x="10228386" y="5556085"/>
          <a:ext cx="4461182" cy="223059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0" tIns="152400" rIns="152400" bIns="152400" numCol="1" spcCol="1270" anchor="ctr" anchorCtr="0">
          <a:noAutofit/>
        </a:bodyPr>
        <a:lstStyle/>
        <a:p>
          <a:pPr marL="0" lvl="0" indent="0" algn="ctr" defTabSz="1778000">
            <a:lnSpc>
              <a:spcPct val="90000"/>
            </a:lnSpc>
            <a:spcBef>
              <a:spcPct val="0"/>
            </a:spcBef>
            <a:spcAft>
              <a:spcPct val="35000"/>
            </a:spcAft>
            <a:buNone/>
          </a:pPr>
          <a:r>
            <a:rPr kumimoji="1" lang="ja-JP" altLang="en-US" sz="4000" b="1" kern="1200">
              <a:solidFill>
                <a:schemeClr val="tx1"/>
              </a:solidFill>
              <a:latin typeface="ＭＳ ゴシック" panose="020B0609070205080204" pitchFamily="49" charset="-128"/>
              <a:ea typeface="ＭＳ ゴシック" panose="020B0609070205080204" pitchFamily="49" charset="-128"/>
            </a:rPr>
            <a:t>中小企業診断士</a:t>
          </a:r>
        </a:p>
      </dsp:txBody>
      <dsp:txXfrm>
        <a:off x="10293718" y="5621417"/>
        <a:ext cx="4330518" cy="2099927"/>
      </dsp:txXfrm>
    </dsp:sp>
    <dsp:sp modelId="{10A86DCC-342A-443C-A8D3-E6E5FAC11259}">
      <dsp:nvSpPr>
        <dsp:cNvPr id="0" name=""/>
        <dsp:cNvSpPr/>
      </dsp:nvSpPr>
      <dsp:spPr>
        <a:xfrm rot="10833940">
          <a:off x="6747925" y="6239914"/>
          <a:ext cx="3093827" cy="780706"/>
        </a:xfrm>
        <a:prstGeom prst="lef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1466850">
            <a:lnSpc>
              <a:spcPct val="90000"/>
            </a:lnSpc>
            <a:spcBef>
              <a:spcPct val="0"/>
            </a:spcBef>
            <a:spcAft>
              <a:spcPct val="35000"/>
            </a:spcAft>
            <a:buNone/>
          </a:pPr>
          <a:endParaRPr kumimoji="1" lang="ja-JP" altLang="en-US" sz="3300" kern="1200"/>
        </a:p>
      </dsp:txBody>
      <dsp:txXfrm rot="10800000">
        <a:off x="6982137" y="6396055"/>
        <a:ext cx="2625403" cy="468424"/>
      </dsp:txXfrm>
    </dsp:sp>
    <dsp:sp modelId="{1BF81F32-F900-4E31-A8CA-3FBC04DB1C2B}">
      <dsp:nvSpPr>
        <dsp:cNvPr id="0" name=""/>
        <dsp:cNvSpPr/>
      </dsp:nvSpPr>
      <dsp:spPr>
        <a:xfrm>
          <a:off x="1900108" y="5473859"/>
          <a:ext cx="4461182" cy="223059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0" tIns="152400" rIns="152400" bIns="152400" numCol="1" spcCol="1270" anchor="ctr" anchorCtr="0">
          <a:noAutofit/>
        </a:bodyPr>
        <a:lstStyle/>
        <a:p>
          <a:pPr marL="0" lvl="0" indent="0" algn="ctr" defTabSz="1778000">
            <a:lnSpc>
              <a:spcPct val="90000"/>
            </a:lnSpc>
            <a:spcBef>
              <a:spcPct val="0"/>
            </a:spcBef>
            <a:spcAft>
              <a:spcPct val="35000"/>
            </a:spcAft>
            <a:buNone/>
          </a:pPr>
          <a:r>
            <a:rPr kumimoji="1" lang="ja-JP" altLang="en-US" sz="4000" b="1" kern="1200">
              <a:solidFill>
                <a:schemeClr val="tx1"/>
              </a:solidFill>
              <a:latin typeface="ＭＳ ゴシック" panose="020B0609070205080204" pitchFamily="49" charset="-128"/>
              <a:ea typeface="ＭＳ ゴシック" panose="020B0609070205080204" pitchFamily="49" charset="-128"/>
            </a:rPr>
            <a:t>信用保証協会</a:t>
          </a:r>
        </a:p>
      </dsp:txBody>
      <dsp:txXfrm>
        <a:off x="1965440" y="5539191"/>
        <a:ext cx="4330518" cy="2099927"/>
      </dsp:txXfrm>
    </dsp:sp>
    <dsp:sp modelId="{EAC686BD-CF22-432D-A921-A09D86911C62}">
      <dsp:nvSpPr>
        <dsp:cNvPr id="0" name=""/>
        <dsp:cNvSpPr/>
      </dsp:nvSpPr>
      <dsp:spPr>
        <a:xfrm rot="18575627">
          <a:off x="4753182" y="3575871"/>
          <a:ext cx="3093827" cy="780706"/>
        </a:xfrm>
        <a:prstGeom prst="rightArrow">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1466850">
            <a:lnSpc>
              <a:spcPct val="90000"/>
            </a:lnSpc>
            <a:spcBef>
              <a:spcPct val="0"/>
            </a:spcBef>
            <a:spcAft>
              <a:spcPct val="35000"/>
            </a:spcAft>
            <a:buNone/>
          </a:pPr>
          <a:endParaRPr kumimoji="1" lang="ja-JP" altLang="en-US" sz="3300" kern="1200"/>
        </a:p>
      </dsp:txBody>
      <dsp:txXfrm>
        <a:off x="4987394" y="3732012"/>
        <a:ext cx="2625403" cy="468424"/>
      </dsp:txXfrm>
    </dsp:sp>
  </dsp:spTree>
</dsp:drawing>
</file>

<file path=xl/diagrams/layout1.xml><?xml version="1.0" encoding="utf-8"?>
<dgm:layoutDef xmlns:dgm="http://schemas.openxmlformats.org/drawingml/2006/diagram" xmlns:a="http://schemas.openxmlformats.org/drawingml/2006/main" uniqueId="urn:microsoft.com/office/officeart/2005/8/layout/cycle7">
  <dgm:title val=""/>
  <dgm:desc val=""/>
  <dgm:catLst>
    <dgm:cat type="cycle" pri="6000"/>
  </dgm:catLst>
  <dgm:sampData>
    <dgm:dataModel>
      <dgm:ptLst>
        <dgm:pt modelId="0" type="doc"/>
        <dgm:pt modelId="1">
          <dgm:prSet phldr="1"/>
        </dgm:pt>
        <dgm:pt modelId="2">
          <dgm:prSet phldr="1"/>
        </dgm:pt>
        <dgm:pt modelId="3">
          <dgm:prSet phldr="1"/>
        </dgm:pt>
      </dgm:ptLst>
      <dgm:cxnLst>
        <dgm:cxn modelId="6" srcId="0" destId="1" srcOrd="0" destOrd="0"/>
        <dgm:cxn modelId="7" srcId="0" destId="2" srcOrd="1" destOrd="0"/>
        <dgm:cxn modelId="8" srcId="0" destId="3" srcOrd="2"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func="var" arg="dir" op="equ" val="norm">
        <dgm:alg type="cycle">
          <dgm:param type="stAng" val="0"/>
          <dgm:param type="spanAng" val="360"/>
        </dgm:alg>
      </dgm:if>
      <dgm:else name="Name3">
        <dgm:alg type="cycle">
          <dgm:param type="stAng" val="0"/>
          <dgm:param type="spanAng" val="-360"/>
        </dgm:alg>
      </dgm:else>
    </dgm:choose>
    <dgm:shape xmlns:r="http://schemas.openxmlformats.org/officeDocument/2006/relationships" r:blip="">
      <dgm:adjLst/>
    </dgm:shape>
    <dgm:presOf/>
    <dgm:constrLst>
      <dgm:constr type="diam" refType="w"/>
      <dgm:constr type="w" for="ch" ptType="node" refType="w"/>
      <dgm:constr type="primFontSz" for="ch" ptType="node" op="equ" val="65"/>
      <dgm:constr type="w" for="ch" forName="sibTrans" refType="w" refFor="ch" refPtType="node" op="equ" fact="0.35"/>
      <dgm:constr type="connDist" for="ch" forName="sibTrans" op="equ"/>
      <dgm:constr type="primFontSz" for="des" forName="connectorText" op="equ" val="55"/>
      <dgm:constr type="primFontSz" for="des" forName="connectorText" refType="primFontSz" refFor="ch" refPtType="node" op="lte" fact="0.8"/>
      <dgm:constr type="sibSp" refType="w" refFor="ch" refPtType="node" op="equ" fact="0.65"/>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4">
        <dgm:if name="Name5" axis="par ch" ptType="doc node" func="cnt" op="gt" val="1">
          <dgm:forEach name="sibTransForEach" axis="followSib" ptType="sibTrans" hideLastTrans="0" cnt="1">
            <dgm:layoutNode name="sibTrans">
              <dgm:choose name="Name6">
                <dgm:if name="Name7" axis="par ch" ptType="doc node" func="posEven" op="equ" val="1">
                  <dgm:alg type="conn">
                    <dgm:param type="begPts" val="radial"/>
                    <dgm:param type="endPts" val="radial"/>
                    <dgm:param type="begSty" val="arr"/>
                    <dgm:param type="endSty" val="arr"/>
                  </dgm:alg>
                </dgm:if>
                <dgm:else name="Name8">
                  <dgm:alg type="conn">
                    <dgm:param type="begPts" val="auto"/>
                    <dgm:param type="endPts" val="auto"/>
                    <dgm:param type="begSty" val="arr"/>
                    <dgm:param type="endSty" val="arr"/>
                  </dgm:alg>
                </dgm:else>
              </dgm:choose>
              <dgm:shape xmlns:r="http://schemas.openxmlformats.org/officeDocument/2006/relationships" type="conn" r:blip="">
                <dgm:adjLst/>
              </dgm:shape>
              <dgm:presOf axis="self"/>
              <dgm:constrLst>
                <dgm:constr type="h" refType="w" fact="0.5"/>
                <dgm:constr type="connDist"/>
                <dgm:constr type="begPad" refType="connDist" fact="0.1"/>
                <dgm:constr type="endPad" refType="connDist" fact="0.1"/>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6</xdr:col>
      <xdr:colOff>361950</xdr:colOff>
      <xdr:row>28</xdr:row>
      <xdr:rowOff>190501</xdr:rowOff>
    </xdr:from>
    <xdr:to>
      <xdr:col>10</xdr:col>
      <xdr:colOff>19050</xdr:colOff>
      <xdr:row>30</xdr:row>
      <xdr:rowOff>78441</xdr:rowOff>
    </xdr:to>
    <xdr:sp macro="" textlink="">
      <xdr:nvSpPr>
        <xdr:cNvPr id="2" name="角丸四角形吹き出し 6">
          <a:extLst>
            <a:ext uri="{FF2B5EF4-FFF2-40B4-BE49-F238E27FC236}">
              <a16:creationId xmlns:a16="http://schemas.microsoft.com/office/drawing/2014/main" id="{00000000-0008-0000-0300-000002000000}"/>
            </a:ext>
          </a:extLst>
        </xdr:cNvPr>
        <xdr:cNvSpPr/>
      </xdr:nvSpPr>
      <xdr:spPr>
        <a:xfrm>
          <a:off x="5534025" y="8201026"/>
          <a:ext cx="3086100" cy="364190"/>
        </a:xfrm>
        <a:prstGeom prst="wedgeRoundRectCallout">
          <a:avLst>
            <a:gd name="adj1" fmla="val 31582"/>
            <a:gd name="adj2" fmla="val -110398"/>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月末現金残高の推移に着目してください。</a:t>
          </a:r>
          <a:br>
            <a:rPr kumimoji="1" lang="en-US" altLang="ja-JP" sz="1000">
              <a:solidFill>
                <a:sysClr val="windowText" lastClr="000000"/>
              </a:solidFill>
            </a:rPr>
          </a:br>
          <a:endParaRPr kumimoji="1" lang="ja-JP" altLang="en-US" sz="1000">
            <a:solidFill>
              <a:sysClr val="windowText" lastClr="000000"/>
            </a:solidFill>
          </a:endParaRPr>
        </a:p>
      </xdr:txBody>
    </xdr:sp>
    <xdr:clientData/>
  </xdr:twoCellAnchor>
  <xdr:twoCellAnchor>
    <xdr:from>
      <xdr:col>14</xdr:col>
      <xdr:colOff>457200</xdr:colOff>
      <xdr:row>1</xdr:row>
      <xdr:rowOff>104773</xdr:rowOff>
    </xdr:from>
    <xdr:to>
      <xdr:col>18</xdr:col>
      <xdr:colOff>19050</xdr:colOff>
      <xdr:row>3</xdr:row>
      <xdr:rowOff>228600</xdr:rowOff>
    </xdr:to>
    <xdr:sp macro="" textlink="">
      <xdr:nvSpPr>
        <xdr:cNvPr id="3" name="角丸四角形吹き出し 4">
          <a:extLst>
            <a:ext uri="{FF2B5EF4-FFF2-40B4-BE49-F238E27FC236}">
              <a16:creationId xmlns:a16="http://schemas.microsoft.com/office/drawing/2014/main" id="{00000000-0008-0000-0300-000003000000}"/>
            </a:ext>
          </a:extLst>
        </xdr:cNvPr>
        <xdr:cNvSpPr/>
      </xdr:nvSpPr>
      <xdr:spPr>
        <a:xfrm>
          <a:off x="11630025" y="495298"/>
          <a:ext cx="2419350" cy="600077"/>
        </a:xfrm>
        <a:prstGeom prst="wedgeRoundRectCallout">
          <a:avLst>
            <a:gd name="adj1" fmla="val 30585"/>
            <a:gd name="adj2" fmla="val -8341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計画通りに進まなかったケースを想定し、低めに入力してください。</a:t>
          </a:r>
        </a:p>
      </xdr:txBody>
    </xdr:sp>
    <xdr:clientData/>
  </xdr:twoCellAnchor>
  <xdr:twoCellAnchor>
    <xdr:from>
      <xdr:col>13</xdr:col>
      <xdr:colOff>447674</xdr:colOff>
      <xdr:row>28</xdr:row>
      <xdr:rowOff>228600</xdr:rowOff>
    </xdr:from>
    <xdr:to>
      <xdr:col>18</xdr:col>
      <xdr:colOff>19049</xdr:colOff>
      <xdr:row>31</xdr:row>
      <xdr:rowOff>152400</xdr:rowOff>
    </xdr:to>
    <xdr:sp macro="" textlink="">
      <xdr:nvSpPr>
        <xdr:cNvPr id="4" name="角丸四角形吹き出し 5">
          <a:extLst>
            <a:ext uri="{FF2B5EF4-FFF2-40B4-BE49-F238E27FC236}">
              <a16:creationId xmlns:a16="http://schemas.microsoft.com/office/drawing/2014/main" id="{00000000-0008-0000-0300-000004000000}"/>
            </a:ext>
          </a:extLst>
        </xdr:cNvPr>
        <xdr:cNvSpPr/>
      </xdr:nvSpPr>
      <xdr:spPr>
        <a:xfrm>
          <a:off x="11772899" y="8239125"/>
          <a:ext cx="3857625" cy="638175"/>
        </a:xfrm>
        <a:prstGeom prst="wedgeRoundRectCallout">
          <a:avLst>
            <a:gd name="adj1" fmla="val 33519"/>
            <a:gd name="adj2" fmla="val -873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計画値が未達成となった場合の、月末現金残高の推移に着目してください。</a:t>
          </a:r>
        </a:p>
      </xdr:txBody>
    </xdr:sp>
    <xdr:clientData/>
  </xdr:twoCellAnchor>
  <xdr:twoCellAnchor>
    <xdr:from>
      <xdr:col>1</xdr:col>
      <xdr:colOff>266700</xdr:colOff>
      <xdr:row>0</xdr:row>
      <xdr:rowOff>123825</xdr:rowOff>
    </xdr:from>
    <xdr:to>
      <xdr:col>2</xdr:col>
      <xdr:colOff>752475</xdr:colOff>
      <xdr:row>2</xdr:row>
      <xdr:rowOff>123824</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flipH="1">
          <a:off x="666750" y="123825"/>
          <a:ext cx="1828800" cy="628649"/>
        </a:xfrm>
        <a:prstGeom prst="wedgeRoundRectCallout">
          <a:avLst>
            <a:gd name="adj1" fmla="val -27289"/>
            <a:gd name="adj2" fmla="val 94364"/>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直近</a:t>
          </a:r>
          <a:r>
            <a:rPr kumimoji="1" lang="en-US" altLang="ja-JP" sz="1000">
              <a:solidFill>
                <a:sysClr val="windowText" lastClr="000000"/>
              </a:solidFill>
            </a:rPr>
            <a:t>2</a:t>
          </a:r>
          <a:r>
            <a:rPr kumimoji="1" lang="ja-JP" altLang="en-US" sz="1000">
              <a:solidFill>
                <a:sysClr val="windowText" lastClr="000000"/>
              </a:solidFill>
            </a:rPr>
            <a:t>ヶ月分の資金繰り実績を入力してください。</a:t>
          </a:r>
        </a:p>
      </xdr:txBody>
    </xdr:sp>
    <xdr:clientData/>
  </xdr:twoCellAnchor>
  <xdr:twoCellAnchor>
    <xdr:from>
      <xdr:col>4</xdr:col>
      <xdr:colOff>57151</xdr:colOff>
      <xdr:row>1</xdr:row>
      <xdr:rowOff>200025</xdr:rowOff>
    </xdr:from>
    <xdr:to>
      <xdr:col>4</xdr:col>
      <xdr:colOff>819151</xdr:colOff>
      <xdr:row>3</xdr:row>
      <xdr:rowOff>257175</xdr:rowOff>
    </xdr:to>
    <xdr:sp macro="" textlink="">
      <xdr:nvSpPr>
        <xdr:cNvPr id="6" name="矢印: 右 5">
          <a:extLst>
            <a:ext uri="{FF2B5EF4-FFF2-40B4-BE49-F238E27FC236}">
              <a16:creationId xmlns:a16="http://schemas.microsoft.com/office/drawing/2014/main" id="{00000000-0008-0000-0300-000006000000}"/>
            </a:ext>
          </a:extLst>
        </xdr:cNvPr>
        <xdr:cNvSpPr/>
      </xdr:nvSpPr>
      <xdr:spPr>
        <a:xfrm>
          <a:off x="3495676" y="590550"/>
          <a:ext cx="76200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予定</a:t>
          </a:r>
          <a:endParaRPr kumimoji="1" lang="en-US" altLang="ja-JP" sz="1100"/>
        </a:p>
      </xdr:txBody>
    </xdr:sp>
    <xdr:clientData/>
  </xdr:twoCellAnchor>
  <xdr:twoCellAnchor>
    <xdr:from>
      <xdr:col>3</xdr:col>
      <xdr:colOff>47625</xdr:colOff>
      <xdr:row>1</xdr:row>
      <xdr:rowOff>228600</xdr:rowOff>
    </xdr:from>
    <xdr:to>
      <xdr:col>3</xdr:col>
      <xdr:colOff>762000</xdr:colOff>
      <xdr:row>3</xdr:row>
      <xdr:rowOff>247650</xdr:rowOff>
    </xdr:to>
    <xdr:sp macro="" textlink="">
      <xdr:nvSpPr>
        <xdr:cNvPr id="7" name="矢印: 左 6">
          <a:extLst>
            <a:ext uri="{FF2B5EF4-FFF2-40B4-BE49-F238E27FC236}">
              <a16:creationId xmlns:a16="http://schemas.microsoft.com/office/drawing/2014/main" id="{00000000-0008-0000-0300-000007000000}"/>
            </a:ext>
          </a:extLst>
        </xdr:cNvPr>
        <xdr:cNvSpPr/>
      </xdr:nvSpPr>
      <xdr:spPr>
        <a:xfrm>
          <a:off x="2638425" y="619125"/>
          <a:ext cx="71437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実績</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662828</xdr:colOff>
      <xdr:row>20</xdr:row>
      <xdr:rowOff>160245</xdr:rowOff>
    </xdr:from>
    <xdr:to>
      <xdr:col>12</xdr:col>
      <xdr:colOff>102533</xdr:colOff>
      <xdr:row>23</xdr:row>
      <xdr:rowOff>70597</xdr:rowOff>
    </xdr:to>
    <xdr:sp macro="" textlink="">
      <xdr:nvSpPr>
        <xdr:cNvPr id="2" name="角丸四角形吹き出し 4">
          <a:extLst>
            <a:ext uri="{FF2B5EF4-FFF2-40B4-BE49-F238E27FC236}">
              <a16:creationId xmlns:a16="http://schemas.microsoft.com/office/drawing/2014/main" id="{00000000-0008-0000-0400-000002000000}"/>
            </a:ext>
          </a:extLst>
        </xdr:cNvPr>
        <xdr:cNvSpPr/>
      </xdr:nvSpPr>
      <xdr:spPr>
        <a:xfrm>
          <a:off x="14312153" y="4922745"/>
          <a:ext cx="1392330" cy="624727"/>
        </a:xfrm>
        <a:prstGeom prst="wedgeRoundRectCallout">
          <a:avLst>
            <a:gd name="adj1" fmla="val -60175"/>
            <a:gd name="adj2" fmla="val -107316"/>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2</a:t>
          </a:r>
          <a:r>
            <a:rPr kumimoji="1" lang="ja-JP" altLang="en-US" sz="1000">
              <a:solidFill>
                <a:sysClr val="windowText" lastClr="000000"/>
              </a:solidFill>
            </a:rPr>
            <a:t>ヶ月前月初現預金残高</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655320</xdr:colOff>
      <xdr:row>4</xdr:row>
      <xdr:rowOff>99060</xdr:rowOff>
    </xdr:from>
    <xdr:to>
      <xdr:col>3</xdr:col>
      <xdr:colOff>800100</xdr:colOff>
      <xdr:row>5</xdr:row>
      <xdr:rowOff>182880</xdr:rowOff>
    </xdr:to>
    <xdr:sp macro="" textlink="">
      <xdr:nvSpPr>
        <xdr:cNvPr id="9" name="矢印: 左 8">
          <a:extLst>
            <a:ext uri="{FF2B5EF4-FFF2-40B4-BE49-F238E27FC236}">
              <a16:creationId xmlns:a16="http://schemas.microsoft.com/office/drawing/2014/main" id="{5672F771-2CD7-4FAE-A578-D86027F35E46}"/>
            </a:ext>
          </a:extLst>
        </xdr:cNvPr>
        <xdr:cNvSpPr/>
      </xdr:nvSpPr>
      <xdr:spPr>
        <a:xfrm>
          <a:off x="2392680" y="1211580"/>
          <a:ext cx="998220" cy="358140"/>
        </a:xfrm>
        <a:prstGeom prst="leftArrow">
          <a:avLst>
            <a:gd name="adj1" fmla="val 68462"/>
            <a:gd name="adj2" fmla="val 68750"/>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実績</a:t>
          </a:r>
        </a:p>
      </xdr:txBody>
    </xdr:sp>
    <xdr:clientData/>
  </xdr:twoCellAnchor>
  <xdr:twoCellAnchor>
    <xdr:from>
      <xdr:col>4</xdr:col>
      <xdr:colOff>60960</xdr:colOff>
      <xdr:row>4</xdr:row>
      <xdr:rowOff>83820</xdr:rowOff>
    </xdr:from>
    <xdr:to>
      <xdr:col>5</xdr:col>
      <xdr:colOff>247649</xdr:colOff>
      <xdr:row>5</xdr:row>
      <xdr:rowOff>205740</xdr:rowOff>
    </xdr:to>
    <xdr:sp macro="" textlink="">
      <xdr:nvSpPr>
        <xdr:cNvPr id="12" name="矢印: 右 11">
          <a:extLst>
            <a:ext uri="{FF2B5EF4-FFF2-40B4-BE49-F238E27FC236}">
              <a16:creationId xmlns:a16="http://schemas.microsoft.com/office/drawing/2014/main" id="{D79AED61-92C1-4163-BEAF-967239D0F5F2}"/>
            </a:ext>
          </a:extLst>
        </xdr:cNvPr>
        <xdr:cNvSpPr/>
      </xdr:nvSpPr>
      <xdr:spPr>
        <a:xfrm>
          <a:off x="3505200" y="1196340"/>
          <a:ext cx="1040129" cy="396240"/>
        </a:xfrm>
        <a:prstGeom prst="rightArrow">
          <a:avLst>
            <a:gd name="adj1" fmla="val 64815"/>
            <a:gd name="adj2" fmla="val 69259"/>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見込み</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130176</xdr:colOff>
      <xdr:row>5</xdr:row>
      <xdr:rowOff>114299</xdr:rowOff>
    </xdr:from>
    <xdr:to>
      <xdr:col>11</xdr:col>
      <xdr:colOff>19049</xdr:colOff>
      <xdr:row>6</xdr:row>
      <xdr:rowOff>195977</xdr:rowOff>
    </xdr:to>
    <xdr:sp macro="" textlink="">
      <xdr:nvSpPr>
        <xdr:cNvPr id="2" name="矢印: 左 1">
          <a:extLst>
            <a:ext uri="{FF2B5EF4-FFF2-40B4-BE49-F238E27FC236}">
              <a16:creationId xmlns:a16="http://schemas.microsoft.com/office/drawing/2014/main" id="{DB43DE4F-6D77-4D3D-A49C-3C88AAD0D2D1}"/>
            </a:ext>
          </a:extLst>
        </xdr:cNvPr>
        <xdr:cNvSpPr/>
      </xdr:nvSpPr>
      <xdr:spPr>
        <a:xfrm rot="10800000">
          <a:off x="10760076" y="1352549"/>
          <a:ext cx="574673" cy="32932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222688</xdr:colOff>
      <xdr:row>15</xdr:row>
      <xdr:rowOff>50799</xdr:rowOff>
    </xdr:from>
    <xdr:to>
      <xdr:col>5</xdr:col>
      <xdr:colOff>584200</xdr:colOff>
      <xdr:row>16</xdr:row>
      <xdr:rowOff>245096</xdr:rowOff>
    </xdr:to>
    <xdr:sp macro="" textlink="">
      <xdr:nvSpPr>
        <xdr:cNvPr id="3" name="矢印: 左 2">
          <a:extLst>
            <a:ext uri="{FF2B5EF4-FFF2-40B4-BE49-F238E27FC236}">
              <a16:creationId xmlns:a16="http://schemas.microsoft.com/office/drawing/2014/main" id="{DAAE845A-3CEA-4F1F-994A-6964B4A5B60A}"/>
            </a:ext>
          </a:extLst>
        </xdr:cNvPr>
        <xdr:cNvSpPr/>
      </xdr:nvSpPr>
      <xdr:spPr>
        <a:xfrm rot="16200000">
          <a:off x="8017735" y="3746712"/>
          <a:ext cx="438137" cy="36151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143938</xdr:colOff>
      <xdr:row>30</xdr:row>
      <xdr:rowOff>76200</xdr:rowOff>
    </xdr:from>
    <xdr:to>
      <xdr:col>18</xdr:col>
      <xdr:colOff>567270</xdr:colOff>
      <xdr:row>40</xdr:row>
      <xdr:rowOff>33867</xdr:rowOff>
    </xdr:to>
    <xdr:sp macro="" textlink="">
      <xdr:nvSpPr>
        <xdr:cNvPr id="6" name="矢印: 上向き折線 5">
          <a:extLst>
            <a:ext uri="{FF2B5EF4-FFF2-40B4-BE49-F238E27FC236}">
              <a16:creationId xmlns:a16="http://schemas.microsoft.com/office/drawing/2014/main" id="{975266AD-A900-44F5-A05F-ED148D5DCAF9}"/>
            </a:ext>
          </a:extLst>
        </xdr:cNvPr>
        <xdr:cNvSpPr/>
      </xdr:nvSpPr>
      <xdr:spPr>
        <a:xfrm rot="16200000" flipH="1">
          <a:off x="16057037" y="8056034"/>
          <a:ext cx="2413000" cy="1185332"/>
        </a:xfrm>
        <a:prstGeom prst="bentUpArrow">
          <a:avLst>
            <a:gd name="adj1" fmla="val 11959"/>
            <a:gd name="adj2" fmla="val 11688"/>
            <a:gd name="adj3" fmla="val 190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50800</xdr:colOff>
      <xdr:row>28</xdr:row>
      <xdr:rowOff>19051</xdr:rowOff>
    </xdr:from>
    <xdr:to>
      <xdr:col>13</xdr:col>
      <xdr:colOff>728133</xdr:colOff>
      <xdr:row>40</xdr:row>
      <xdr:rowOff>209550</xdr:rowOff>
    </xdr:to>
    <xdr:grpSp>
      <xdr:nvGrpSpPr>
        <xdr:cNvPr id="8" name="グループ化 7">
          <a:extLst>
            <a:ext uri="{FF2B5EF4-FFF2-40B4-BE49-F238E27FC236}">
              <a16:creationId xmlns:a16="http://schemas.microsoft.com/office/drawing/2014/main" id="{C153422A-507A-456A-A775-3F19C74A7F04}"/>
            </a:ext>
          </a:extLst>
        </xdr:cNvPr>
        <xdr:cNvGrpSpPr/>
      </xdr:nvGrpSpPr>
      <xdr:grpSpPr>
        <a:xfrm>
          <a:off x="12783820" y="6846571"/>
          <a:ext cx="677333" cy="3116579"/>
          <a:chOff x="13495866" y="7399866"/>
          <a:chExt cx="745067" cy="2362202"/>
        </a:xfrm>
      </xdr:grpSpPr>
      <xdr:sp macro="" textlink="">
        <xdr:nvSpPr>
          <xdr:cNvPr id="4" name="正方形/長方形 3">
            <a:extLst>
              <a:ext uri="{FF2B5EF4-FFF2-40B4-BE49-F238E27FC236}">
                <a16:creationId xmlns:a16="http://schemas.microsoft.com/office/drawing/2014/main" id="{5C2321CA-00DA-4605-A37D-9120EC234788}"/>
              </a:ext>
            </a:extLst>
          </xdr:cNvPr>
          <xdr:cNvSpPr/>
        </xdr:nvSpPr>
        <xdr:spPr>
          <a:xfrm>
            <a:off x="13868400" y="9660468"/>
            <a:ext cx="372533" cy="101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矢印: 上向き折線 6">
            <a:extLst>
              <a:ext uri="{FF2B5EF4-FFF2-40B4-BE49-F238E27FC236}">
                <a16:creationId xmlns:a16="http://schemas.microsoft.com/office/drawing/2014/main" id="{1FF38E72-4745-4CC5-BB1C-CCFAD798B9FC}"/>
              </a:ext>
            </a:extLst>
          </xdr:cNvPr>
          <xdr:cNvSpPr/>
        </xdr:nvSpPr>
        <xdr:spPr>
          <a:xfrm rot="16200000">
            <a:off x="12539133" y="8356599"/>
            <a:ext cx="2362201" cy="448736"/>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28</xdr:row>
      <xdr:rowOff>190501</xdr:rowOff>
    </xdr:from>
    <xdr:to>
      <xdr:col>9</xdr:col>
      <xdr:colOff>590550</xdr:colOff>
      <xdr:row>30</xdr:row>
      <xdr:rowOff>78441</xdr:rowOff>
    </xdr:to>
    <xdr:sp macro="" textlink="">
      <xdr:nvSpPr>
        <xdr:cNvPr id="2" name="角丸四角形吹き出し 6">
          <a:extLst>
            <a:ext uri="{FF2B5EF4-FFF2-40B4-BE49-F238E27FC236}">
              <a16:creationId xmlns:a16="http://schemas.microsoft.com/office/drawing/2014/main" id="{00000000-0008-0000-0C00-000002000000}"/>
            </a:ext>
          </a:extLst>
        </xdr:cNvPr>
        <xdr:cNvSpPr/>
      </xdr:nvSpPr>
      <xdr:spPr>
        <a:xfrm>
          <a:off x="5076825" y="8201026"/>
          <a:ext cx="2657475" cy="364190"/>
        </a:xfrm>
        <a:prstGeom prst="wedgeRoundRectCallout">
          <a:avLst>
            <a:gd name="adj1" fmla="val 31582"/>
            <a:gd name="adj2" fmla="val -110398"/>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月末現金残高の推移に着目してください。</a:t>
          </a:r>
          <a:br>
            <a:rPr kumimoji="1" lang="en-US" altLang="ja-JP" sz="1000">
              <a:solidFill>
                <a:sysClr val="windowText" lastClr="000000"/>
              </a:solidFill>
            </a:rPr>
          </a:br>
          <a:endParaRPr kumimoji="1" lang="ja-JP" altLang="en-US" sz="1000">
            <a:solidFill>
              <a:sysClr val="windowText" lastClr="000000"/>
            </a:solidFill>
          </a:endParaRPr>
        </a:p>
      </xdr:txBody>
    </xdr:sp>
    <xdr:clientData/>
  </xdr:twoCellAnchor>
  <xdr:twoCellAnchor>
    <xdr:from>
      <xdr:col>14</xdr:col>
      <xdr:colOff>457200</xdr:colOff>
      <xdr:row>1</xdr:row>
      <xdr:rowOff>104773</xdr:rowOff>
    </xdr:from>
    <xdr:to>
      <xdr:col>18</xdr:col>
      <xdr:colOff>19050</xdr:colOff>
      <xdr:row>3</xdr:row>
      <xdr:rowOff>228600</xdr:rowOff>
    </xdr:to>
    <xdr:sp macro="" textlink="">
      <xdr:nvSpPr>
        <xdr:cNvPr id="3" name="角丸四角形吹き出し 4">
          <a:extLst>
            <a:ext uri="{FF2B5EF4-FFF2-40B4-BE49-F238E27FC236}">
              <a16:creationId xmlns:a16="http://schemas.microsoft.com/office/drawing/2014/main" id="{00000000-0008-0000-0C00-000003000000}"/>
            </a:ext>
          </a:extLst>
        </xdr:cNvPr>
        <xdr:cNvSpPr/>
      </xdr:nvSpPr>
      <xdr:spPr>
        <a:xfrm>
          <a:off x="11630025" y="495298"/>
          <a:ext cx="2419350" cy="600077"/>
        </a:xfrm>
        <a:prstGeom prst="wedgeRoundRectCallout">
          <a:avLst>
            <a:gd name="adj1" fmla="val 30585"/>
            <a:gd name="adj2" fmla="val -8341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計画通りに進まなかったケースを想定し、低めに入力してください。</a:t>
          </a:r>
        </a:p>
      </xdr:txBody>
    </xdr:sp>
    <xdr:clientData/>
  </xdr:twoCellAnchor>
  <xdr:twoCellAnchor>
    <xdr:from>
      <xdr:col>13</xdr:col>
      <xdr:colOff>180974</xdr:colOff>
      <xdr:row>28</xdr:row>
      <xdr:rowOff>219075</xdr:rowOff>
    </xdr:from>
    <xdr:to>
      <xdr:col>17</xdr:col>
      <xdr:colOff>609599</xdr:colOff>
      <xdr:row>31</xdr:row>
      <xdr:rowOff>142875</xdr:rowOff>
    </xdr:to>
    <xdr:sp macro="" textlink="">
      <xdr:nvSpPr>
        <xdr:cNvPr id="4" name="角丸四角形吹き出し 5">
          <a:extLst>
            <a:ext uri="{FF2B5EF4-FFF2-40B4-BE49-F238E27FC236}">
              <a16:creationId xmlns:a16="http://schemas.microsoft.com/office/drawing/2014/main" id="{00000000-0008-0000-0C00-000004000000}"/>
            </a:ext>
          </a:extLst>
        </xdr:cNvPr>
        <xdr:cNvSpPr/>
      </xdr:nvSpPr>
      <xdr:spPr>
        <a:xfrm>
          <a:off x="10591799" y="8229600"/>
          <a:ext cx="3333750" cy="638175"/>
        </a:xfrm>
        <a:prstGeom prst="wedgeRoundRectCallout">
          <a:avLst>
            <a:gd name="adj1" fmla="val 33519"/>
            <a:gd name="adj2" fmla="val -873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計画値が未達成となった場合の、月末現金残高の推移に着目してください。</a:t>
          </a:r>
        </a:p>
      </xdr:txBody>
    </xdr:sp>
    <xdr:clientData/>
  </xdr:twoCellAnchor>
  <xdr:twoCellAnchor>
    <xdr:from>
      <xdr:col>1</xdr:col>
      <xdr:colOff>266700</xdr:colOff>
      <xdr:row>0</xdr:row>
      <xdr:rowOff>123825</xdr:rowOff>
    </xdr:from>
    <xdr:to>
      <xdr:col>2</xdr:col>
      <xdr:colOff>752475</xdr:colOff>
      <xdr:row>2</xdr:row>
      <xdr:rowOff>123824</xdr:rowOff>
    </xdr:to>
    <xdr:sp macro="" textlink="">
      <xdr:nvSpPr>
        <xdr:cNvPr id="5" name="角丸四角形吹き出し 4">
          <a:extLst>
            <a:ext uri="{FF2B5EF4-FFF2-40B4-BE49-F238E27FC236}">
              <a16:creationId xmlns:a16="http://schemas.microsoft.com/office/drawing/2014/main" id="{00000000-0008-0000-0C00-000005000000}"/>
            </a:ext>
          </a:extLst>
        </xdr:cNvPr>
        <xdr:cNvSpPr/>
      </xdr:nvSpPr>
      <xdr:spPr>
        <a:xfrm flipH="1">
          <a:off x="666750" y="123825"/>
          <a:ext cx="1828800" cy="628649"/>
        </a:xfrm>
        <a:prstGeom prst="wedgeRoundRectCallout">
          <a:avLst>
            <a:gd name="adj1" fmla="val -27289"/>
            <a:gd name="adj2" fmla="val 94364"/>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直近</a:t>
          </a:r>
          <a:r>
            <a:rPr kumimoji="1" lang="en-US" altLang="ja-JP" sz="1000">
              <a:solidFill>
                <a:sysClr val="windowText" lastClr="000000"/>
              </a:solidFill>
            </a:rPr>
            <a:t>2</a:t>
          </a:r>
          <a:r>
            <a:rPr kumimoji="1" lang="ja-JP" altLang="en-US" sz="1000">
              <a:solidFill>
                <a:sysClr val="windowText" lastClr="000000"/>
              </a:solidFill>
            </a:rPr>
            <a:t>ヶ月分の資金繰り実績を入力してください。</a:t>
          </a:r>
        </a:p>
      </xdr:txBody>
    </xdr:sp>
    <xdr:clientData/>
  </xdr:twoCellAnchor>
  <xdr:twoCellAnchor>
    <xdr:from>
      <xdr:col>4</xdr:col>
      <xdr:colOff>57151</xdr:colOff>
      <xdr:row>1</xdr:row>
      <xdr:rowOff>200025</xdr:rowOff>
    </xdr:from>
    <xdr:to>
      <xdr:col>4</xdr:col>
      <xdr:colOff>819151</xdr:colOff>
      <xdr:row>3</xdr:row>
      <xdr:rowOff>257175</xdr:rowOff>
    </xdr:to>
    <xdr:sp macro="" textlink="">
      <xdr:nvSpPr>
        <xdr:cNvPr id="6" name="矢印: 右 5">
          <a:extLst>
            <a:ext uri="{FF2B5EF4-FFF2-40B4-BE49-F238E27FC236}">
              <a16:creationId xmlns:a16="http://schemas.microsoft.com/office/drawing/2014/main" id="{00000000-0008-0000-0C00-000006000000}"/>
            </a:ext>
          </a:extLst>
        </xdr:cNvPr>
        <xdr:cNvSpPr/>
      </xdr:nvSpPr>
      <xdr:spPr>
        <a:xfrm>
          <a:off x="3495676" y="590550"/>
          <a:ext cx="76200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予定</a:t>
          </a:r>
          <a:endParaRPr kumimoji="1" lang="en-US" altLang="ja-JP" sz="1100"/>
        </a:p>
      </xdr:txBody>
    </xdr:sp>
    <xdr:clientData/>
  </xdr:twoCellAnchor>
  <xdr:twoCellAnchor>
    <xdr:from>
      <xdr:col>3</xdr:col>
      <xdr:colOff>47625</xdr:colOff>
      <xdr:row>1</xdr:row>
      <xdr:rowOff>228600</xdr:rowOff>
    </xdr:from>
    <xdr:to>
      <xdr:col>3</xdr:col>
      <xdr:colOff>762000</xdr:colOff>
      <xdr:row>3</xdr:row>
      <xdr:rowOff>247650</xdr:rowOff>
    </xdr:to>
    <xdr:sp macro="" textlink="">
      <xdr:nvSpPr>
        <xdr:cNvPr id="7" name="矢印: 左 6">
          <a:extLst>
            <a:ext uri="{FF2B5EF4-FFF2-40B4-BE49-F238E27FC236}">
              <a16:creationId xmlns:a16="http://schemas.microsoft.com/office/drawing/2014/main" id="{00000000-0008-0000-0C00-000007000000}"/>
            </a:ext>
          </a:extLst>
        </xdr:cNvPr>
        <xdr:cNvSpPr/>
      </xdr:nvSpPr>
      <xdr:spPr>
        <a:xfrm>
          <a:off x="2638425" y="619125"/>
          <a:ext cx="71437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実績</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323850</xdr:colOff>
      <xdr:row>1</xdr:row>
      <xdr:rowOff>133350</xdr:rowOff>
    </xdr:from>
    <xdr:to>
      <xdr:col>16</xdr:col>
      <xdr:colOff>0</xdr:colOff>
      <xdr:row>3</xdr:row>
      <xdr:rowOff>257177</xdr:rowOff>
    </xdr:to>
    <xdr:sp macro="" textlink="">
      <xdr:nvSpPr>
        <xdr:cNvPr id="2" name="角丸四角形吹き出し 3">
          <a:extLst>
            <a:ext uri="{FF2B5EF4-FFF2-40B4-BE49-F238E27FC236}">
              <a16:creationId xmlns:a16="http://schemas.microsoft.com/office/drawing/2014/main" id="{00000000-0008-0000-0F00-000002000000}"/>
            </a:ext>
          </a:extLst>
        </xdr:cNvPr>
        <xdr:cNvSpPr/>
      </xdr:nvSpPr>
      <xdr:spPr>
        <a:xfrm>
          <a:off x="9791700" y="523875"/>
          <a:ext cx="2533650" cy="600077"/>
        </a:xfrm>
        <a:prstGeom prst="wedgeRoundRectCallout">
          <a:avLst>
            <a:gd name="adj1" fmla="val 30585"/>
            <a:gd name="adj2" fmla="val -83413"/>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計画通りに進まなかったケースを想定し、低めに入力してください。</a:t>
          </a:r>
        </a:p>
      </xdr:txBody>
    </xdr:sp>
    <xdr:clientData/>
  </xdr:twoCellAnchor>
  <xdr:twoCellAnchor>
    <xdr:from>
      <xdr:col>4</xdr:col>
      <xdr:colOff>47625</xdr:colOff>
      <xdr:row>27</xdr:row>
      <xdr:rowOff>209550</xdr:rowOff>
    </xdr:from>
    <xdr:to>
      <xdr:col>7</xdr:col>
      <xdr:colOff>647700</xdr:colOff>
      <xdr:row>29</xdr:row>
      <xdr:rowOff>85725</xdr:rowOff>
    </xdr:to>
    <xdr:sp macro="" textlink="">
      <xdr:nvSpPr>
        <xdr:cNvPr id="3" name="角丸四角形吹き出し 4">
          <a:extLst>
            <a:ext uri="{FF2B5EF4-FFF2-40B4-BE49-F238E27FC236}">
              <a16:creationId xmlns:a16="http://schemas.microsoft.com/office/drawing/2014/main" id="{00000000-0008-0000-0F00-000003000000}"/>
            </a:ext>
          </a:extLst>
        </xdr:cNvPr>
        <xdr:cNvSpPr/>
      </xdr:nvSpPr>
      <xdr:spPr>
        <a:xfrm>
          <a:off x="3390900" y="7972425"/>
          <a:ext cx="2743200" cy="352425"/>
        </a:xfrm>
        <a:prstGeom prst="wedgeRoundRectCallout">
          <a:avLst>
            <a:gd name="adj1" fmla="val 31582"/>
            <a:gd name="adj2" fmla="val -110398"/>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月末現金残高の推移に着目してください。</a:t>
          </a:r>
          <a:br>
            <a:rPr kumimoji="1" lang="en-US" altLang="ja-JP" sz="1000">
              <a:solidFill>
                <a:sysClr val="windowText" lastClr="000000"/>
              </a:solidFill>
            </a:rPr>
          </a:br>
          <a:endParaRPr kumimoji="1" lang="ja-JP" altLang="en-US" sz="1000">
            <a:solidFill>
              <a:sysClr val="windowText" lastClr="000000"/>
            </a:solidFill>
          </a:endParaRPr>
        </a:p>
      </xdr:txBody>
    </xdr:sp>
    <xdr:clientData/>
  </xdr:twoCellAnchor>
  <xdr:twoCellAnchor>
    <xdr:from>
      <xdr:col>11</xdr:col>
      <xdr:colOff>104775</xdr:colOff>
      <xdr:row>27</xdr:row>
      <xdr:rowOff>219075</xdr:rowOff>
    </xdr:from>
    <xdr:to>
      <xdr:col>15</xdr:col>
      <xdr:colOff>647700</xdr:colOff>
      <xdr:row>30</xdr:row>
      <xdr:rowOff>142875</xdr:rowOff>
    </xdr:to>
    <xdr:sp macro="" textlink="">
      <xdr:nvSpPr>
        <xdr:cNvPr id="4" name="角丸四角形吹き出し 5">
          <a:extLst>
            <a:ext uri="{FF2B5EF4-FFF2-40B4-BE49-F238E27FC236}">
              <a16:creationId xmlns:a16="http://schemas.microsoft.com/office/drawing/2014/main" id="{00000000-0008-0000-0F00-000004000000}"/>
            </a:ext>
          </a:extLst>
        </xdr:cNvPr>
        <xdr:cNvSpPr/>
      </xdr:nvSpPr>
      <xdr:spPr>
        <a:xfrm>
          <a:off x="8858250" y="7981950"/>
          <a:ext cx="3400425" cy="638175"/>
        </a:xfrm>
        <a:prstGeom prst="wedgeRoundRectCallout">
          <a:avLst>
            <a:gd name="adj1" fmla="val 33519"/>
            <a:gd name="adj2" fmla="val -87367"/>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計画値が未達成となった場合の、月末現金残高の推移に着目してください。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338138</xdr:colOff>
      <xdr:row>25</xdr:row>
      <xdr:rowOff>171573</xdr:rowOff>
    </xdr:from>
    <xdr:to>
      <xdr:col>16</xdr:col>
      <xdr:colOff>2119314</xdr:colOff>
      <xdr:row>27</xdr:row>
      <xdr:rowOff>41519</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21207413" y="15973548"/>
          <a:ext cx="16697326" cy="1393946"/>
        </a:xfrm>
        <a:prstGeom prst="rect">
          <a:avLst/>
        </a:prstGeom>
        <a:solidFill>
          <a:schemeClr val="accent1">
            <a:lumMod val="20000"/>
            <a:lumOff val="80000"/>
          </a:schemeClr>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2800" b="1">
              <a:solidFill>
                <a:schemeClr val="tx1"/>
              </a:solidFill>
              <a:effectLst/>
              <a:latin typeface="ＭＳ ゴシック" panose="020B0609070205080204" pitchFamily="49" charset="-128"/>
              <a:ea typeface="ＭＳ ゴシック" panose="020B0609070205080204" pitchFamily="49" charset="-128"/>
              <a:cs typeface="+mn-cs"/>
            </a:rPr>
            <a:t>事業承継予定者が「不在・未定」の事業者に対して事業承継の実現や経営資源の引継ぎを支援します</a:t>
          </a:r>
          <a:endParaRPr lang="en-US" altLang="ja-JP" sz="2800" b="1">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2400">
              <a:solidFill>
                <a:schemeClr val="dk1"/>
              </a:solidFill>
              <a:effectLst/>
              <a:latin typeface="ＭＳ ゴシック" panose="020B0609070205080204" pitchFamily="49" charset="-128"/>
              <a:ea typeface="ＭＳ ゴシック" panose="020B0609070205080204" pitchFamily="49" charset="-128"/>
              <a:cs typeface="+mn-cs"/>
            </a:rPr>
            <a:t>栃木県事業引継ぎ支援センターと連携を図り事業承継に関する様々な支援を行います</a:t>
          </a:r>
          <a:endParaRPr lang="ja-JP" altLang="ja-JP" sz="2400" b="1">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10</xdr:col>
      <xdr:colOff>1116887</xdr:colOff>
      <xdr:row>35</xdr:row>
      <xdr:rowOff>117836</xdr:rowOff>
    </xdr:from>
    <xdr:to>
      <xdr:col>16</xdr:col>
      <xdr:colOff>1551305</xdr:colOff>
      <xdr:row>36</xdr:row>
      <xdr:rowOff>102129</xdr:rowOff>
    </xdr:to>
    <xdr:grpSp>
      <xdr:nvGrpSpPr>
        <xdr:cNvPr id="3" name="グループ化 2">
          <a:extLst>
            <a:ext uri="{FF2B5EF4-FFF2-40B4-BE49-F238E27FC236}">
              <a16:creationId xmlns:a16="http://schemas.microsoft.com/office/drawing/2014/main" id="{00000000-0008-0000-1000-000003000000}"/>
            </a:ext>
          </a:extLst>
        </xdr:cNvPr>
        <xdr:cNvGrpSpPr/>
      </xdr:nvGrpSpPr>
      <xdr:grpSpPr>
        <a:xfrm>
          <a:off x="21965207" y="23534096"/>
          <a:ext cx="15339138" cy="746293"/>
          <a:chOff x="21402968" y="22134045"/>
          <a:chExt cx="15412013" cy="746333"/>
        </a:xfrm>
      </xdr:grpSpPr>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５　フォローアップ支援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27034834" y="2213404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事業承継後の経営の安定に向けてサポート</a:t>
            </a:r>
            <a:endParaRPr lang="ja-JP" altLang="ja-JP" sz="2400" b="1">
              <a:effectLst/>
              <a:latin typeface="ＭＳ ゴシック" panose="020B0609070205080204" pitchFamily="49" charset="-128"/>
              <a:ea typeface="ＭＳ ゴシック" panose="020B0609070205080204" pitchFamily="49" charset="-128"/>
            </a:endParaRPr>
          </a:p>
        </xdr:txBody>
      </xdr:sp>
    </xdr:grpSp>
    <xdr:clientData/>
  </xdr:twoCellAnchor>
  <xdr:twoCellAnchor>
    <xdr:from>
      <xdr:col>10</xdr:col>
      <xdr:colOff>1259976</xdr:colOff>
      <xdr:row>27</xdr:row>
      <xdr:rowOff>391668</xdr:rowOff>
    </xdr:from>
    <xdr:to>
      <xdr:col>16</xdr:col>
      <xdr:colOff>1726938</xdr:colOff>
      <xdr:row>34</xdr:row>
      <xdr:rowOff>70702</xdr:rowOff>
    </xdr:to>
    <xdr:grpSp>
      <xdr:nvGrpSpPr>
        <xdr:cNvPr id="6" name="グループ化 5">
          <a:extLst>
            <a:ext uri="{FF2B5EF4-FFF2-40B4-BE49-F238E27FC236}">
              <a16:creationId xmlns:a16="http://schemas.microsoft.com/office/drawing/2014/main" id="{00000000-0008-0000-1000-000006000000}"/>
            </a:ext>
          </a:extLst>
        </xdr:cNvPr>
        <xdr:cNvGrpSpPr/>
      </xdr:nvGrpSpPr>
      <xdr:grpSpPr>
        <a:xfrm>
          <a:off x="22108296" y="17711928"/>
          <a:ext cx="15371682" cy="5013034"/>
          <a:chOff x="21381422" y="17147768"/>
          <a:chExt cx="15381718" cy="5040912"/>
        </a:xfrm>
      </xdr:grpSpPr>
      <xdr:grpSp>
        <xdr:nvGrpSpPr>
          <xdr:cNvPr id="7" name="グループ化 6">
            <a:extLst>
              <a:ext uri="{FF2B5EF4-FFF2-40B4-BE49-F238E27FC236}">
                <a16:creationId xmlns:a16="http://schemas.microsoft.com/office/drawing/2014/main" id="{00000000-0008-0000-1000-000007000000}"/>
              </a:ext>
            </a:extLst>
          </xdr:cNvPr>
          <xdr:cNvGrpSpPr/>
        </xdr:nvGrpSpPr>
        <xdr:grpSpPr>
          <a:xfrm>
            <a:off x="21411796" y="18554068"/>
            <a:ext cx="15349174" cy="762517"/>
            <a:chOff x="21402968" y="22138223"/>
            <a:chExt cx="15412013" cy="758037"/>
          </a:xfrm>
        </xdr:grpSpPr>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２</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マッチング支援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xdr:txBody>
        </xdr:sp>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27034834" y="2215410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栃木県事業引継ぎ支援センター等による承継候補先の選定及び支援</a:t>
              </a:r>
              <a:endParaRPr lang="ja-JP" altLang="ja-JP" sz="2400" b="1">
                <a:effectLst/>
                <a:latin typeface="ＭＳ ゴシック" panose="020B0609070205080204" pitchFamily="49" charset="-128"/>
                <a:ea typeface="ＭＳ ゴシック" panose="020B0609070205080204" pitchFamily="49" charset="-128"/>
              </a:endParaRPr>
            </a:p>
          </xdr:txBody>
        </xdr:sp>
      </xdr:grpSp>
      <xdr:grpSp>
        <xdr:nvGrpSpPr>
          <xdr:cNvPr id="8" name="グループ化 7">
            <a:extLst>
              <a:ext uri="{FF2B5EF4-FFF2-40B4-BE49-F238E27FC236}">
                <a16:creationId xmlns:a16="http://schemas.microsoft.com/office/drawing/2014/main" id="{00000000-0008-0000-1000-000008000000}"/>
              </a:ext>
            </a:extLst>
          </xdr:cNvPr>
          <xdr:cNvGrpSpPr/>
        </xdr:nvGrpSpPr>
        <xdr:grpSpPr>
          <a:xfrm>
            <a:off x="21413966" y="17147768"/>
            <a:ext cx="15349174" cy="762517"/>
            <a:chOff x="21402968" y="22138223"/>
            <a:chExt cx="15412013" cy="758036"/>
          </a:xfrm>
        </xdr:grpSpPr>
        <xdr:sp macro="" textlink="">
          <xdr:nvSpPr>
            <xdr:cNvPr id="18" name="正方形/長方形 17">
              <a:extLst>
                <a:ext uri="{FF2B5EF4-FFF2-40B4-BE49-F238E27FC236}">
                  <a16:creationId xmlns:a16="http://schemas.microsoft.com/office/drawing/2014/main" id="{00000000-0008-0000-1000-000012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１</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相談受付</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1000-000013000000}"/>
                </a:ext>
              </a:extLst>
            </xdr:cNvPr>
            <xdr:cNvSpPr/>
          </xdr:nvSpPr>
          <xdr:spPr>
            <a:xfrm>
              <a:off x="27034834" y="22154104"/>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事業承継に係る相談や希望を確認</a:t>
              </a:r>
              <a:endParaRPr lang="ja-JP" altLang="ja-JP" sz="2400" b="1">
                <a:effectLst/>
                <a:latin typeface="ＭＳ ゴシック" panose="020B0609070205080204" pitchFamily="49" charset="-128"/>
                <a:ea typeface="ＭＳ ゴシック" panose="020B0609070205080204" pitchFamily="49" charset="-128"/>
              </a:endParaRPr>
            </a:p>
          </xdr:txBody>
        </xdr:sp>
      </xdr:grpSp>
      <xdr:grpSp>
        <xdr:nvGrpSpPr>
          <xdr:cNvPr id="9" name="グループ化 8">
            <a:extLst>
              <a:ext uri="{FF2B5EF4-FFF2-40B4-BE49-F238E27FC236}">
                <a16:creationId xmlns:a16="http://schemas.microsoft.com/office/drawing/2014/main" id="{00000000-0008-0000-1000-000009000000}"/>
              </a:ext>
            </a:extLst>
          </xdr:cNvPr>
          <xdr:cNvGrpSpPr/>
        </xdr:nvGrpSpPr>
        <xdr:grpSpPr>
          <a:xfrm>
            <a:off x="21387772" y="20001465"/>
            <a:ext cx="15349174" cy="750938"/>
            <a:chOff x="21402968" y="22134045"/>
            <a:chExt cx="15412013" cy="746333"/>
          </a:xfrm>
        </xdr:grpSpPr>
        <xdr:sp macro="" textlink="">
          <xdr:nvSpPr>
            <xdr:cNvPr id="16" name="正方形/長方形 15">
              <a:extLst>
                <a:ext uri="{FF2B5EF4-FFF2-40B4-BE49-F238E27FC236}">
                  <a16:creationId xmlns:a16="http://schemas.microsoft.com/office/drawing/2014/main" id="{00000000-0008-0000-1000-000010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３</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計画策定支援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1000-000011000000}"/>
                </a:ext>
              </a:extLst>
            </xdr:cNvPr>
            <xdr:cNvSpPr/>
          </xdr:nvSpPr>
          <xdr:spPr>
            <a:xfrm>
              <a:off x="27034834" y="2213404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a:solidFill>
                    <a:schemeClr val="dk1"/>
                  </a:solidFill>
                  <a:effectLst/>
                  <a:latin typeface="ＭＳ ゴシック" panose="020B0609070205080204" pitchFamily="49" charset="-128"/>
                  <a:ea typeface="ＭＳ ゴシック" panose="020B0609070205080204" pitchFamily="49" charset="-128"/>
                  <a:cs typeface="+mn-cs"/>
                </a:rPr>
                <a:t>事業承継計画の策定支援（事業承継サポート事業）</a:t>
              </a:r>
              <a:endParaRPr lang="ja-JP" altLang="ja-JP" sz="2400">
                <a:effectLst/>
                <a:latin typeface="ＭＳ ゴシック" panose="020B0609070205080204" pitchFamily="49" charset="-128"/>
                <a:ea typeface="ＭＳ ゴシック" panose="020B0609070205080204" pitchFamily="49" charset="-128"/>
              </a:endParaRPr>
            </a:p>
          </xdr:txBody>
        </xdr:sp>
      </xdr:grpSp>
      <xdr:grpSp>
        <xdr:nvGrpSpPr>
          <xdr:cNvPr id="10" name="グループ化 9">
            <a:extLst>
              <a:ext uri="{FF2B5EF4-FFF2-40B4-BE49-F238E27FC236}">
                <a16:creationId xmlns:a16="http://schemas.microsoft.com/office/drawing/2014/main" id="{00000000-0008-0000-1000-00000A000000}"/>
              </a:ext>
            </a:extLst>
          </xdr:cNvPr>
          <xdr:cNvGrpSpPr/>
        </xdr:nvGrpSpPr>
        <xdr:grpSpPr>
          <a:xfrm>
            <a:off x="21381422" y="21437739"/>
            <a:ext cx="15349175" cy="750941"/>
            <a:chOff x="21402968" y="22134045"/>
            <a:chExt cx="15412014" cy="746333"/>
          </a:xfrm>
        </xdr:grpSpPr>
        <xdr:sp macro="" textlink="">
          <xdr:nvSpPr>
            <xdr:cNvPr id="14" name="正方形/長方形 13">
              <a:extLst>
                <a:ext uri="{FF2B5EF4-FFF2-40B4-BE49-F238E27FC236}">
                  <a16:creationId xmlns:a16="http://schemas.microsoft.com/office/drawing/2014/main" id="{00000000-0008-0000-1000-00000E000000}"/>
                </a:ext>
              </a:extLst>
            </xdr:cNvPr>
            <xdr:cNvSpPr/>
          </xdr:nvSpPr>
          <xdr:spPr>
            <a:xfrm>
              <a:off x="21402968" y="22138223"/>
              <a:ext cx="5626101" cy="7421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3200" b="1">
                  <a:solidFill>
                    <a:schemeClr val="tx1"/>
                  </a:solidFill>
                  <a:effectLst/>
                  <a:latin typeface="ＭＳ ゴシック" panose="020B0609070205080204" pitchFamily="49" charset="-128"/>
                  <a:ea typeface="ＭＳ ゴシック" panose="020B0609070205080204" pitchFamily="49" charset="-128"/>
                  <a:cs typeface="+mn-cs"/>
                </a:rPr>
                <a:t>STEP</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４</a:t>
              </a:r>
              <a:r>
                <a:rPr kumimoji="1" lang="ja-JP" altLang="ja-JP" sz="32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3200" b="1">
                  <a:solidFill>
                    <a:schemeClr val="tx1"/>
                  </a:solidFill>
                  <a:effectLst/>
                  <a:latin typeface="ＭＳ ゴシック" panose="020B0609070205080204" pitchFamily="49" charset="-128"/>
                  <a:ea typeface="ＭＳ ゴシック" panose="020B0609070205080204" pitchFamily="49" charset="-128"/>
                  <a:cs typeface="+mn-cs"/>
                </a:rPr>
                <a:t>資金調達支援</a:t>
              </a:r>
              <a:endParaRPr lang="ja-JP" altLang="ja-JP" sz="3200">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1000-00000F000000}"/>
                </a:ext>
              </a:extLst>
            </xdr:cNvPr>
            <xdr:cNvSpPr/>
          </xdr:nvSpPr>
          <xdr:spPr>
            <a:xfrm>
              <a:off x="27034835" y="22134045"/>
              <a:ext cx="9780147" cy="74215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400" b="1">
                  <a:effectLst/>
                  <a:latin typeface="ＭＳ ゴシック" panose="020B0609070205080204" pitchFamily="49" charset="-128"/>
                  <a:ea typeface="ＭＳ ゴシック" panose="020B0609070205080204" pitchFamily="49" charset="-128"/>
                </a:rPr>
                <a:t>「経営資源引継ぎサポート制度」など保証協会を活用した金融支援</a:t>
              </a:r>
              <a:endParaRPr lang="en-US" altLang="ja-JP" sz="2400" b="1">
                <a:effectLst/>
                <a:latin typeface="ＭＳ ゴシック" panose="020B0609070205080204" pitchFamily="49" charset="-128"/>
                <a:ea typeface="ＭＳ ゴシック" panose="020B0609070205080204" pitchFamily="49" charset="-128"/>
              </a:endParaRPr>
            </a:p>
          </xdr:txBody>
        </xdr:sp>
      </xdr:grpSp>
      <xdr:sp macro="" textlink="">
        <xdr:nvSpPr>
          <xdr:cNvPr id="11" name="矢印: 下 10">
            <a:extLst>
              <a:ext uri="{FF2B5EF4-FFF2-40B4-BE49-F238E27FC236}">
                <a16:creationId xmlns:a16="http://schemas.microsoft.com/office/drawing/2014/main" id="{00000000-0008-0000-1000-00000B000000}"/>
              </a:ext>
            </a:extLst>
          </xdr:cNvPr>
          <xdr:cNvSpPr/>
        </xdr:nvSpPr>
        <xdr:spPr>
          <a:xfrm>
            <a:off x="31191955" y="17940202"/>
            <a:ext cx="1924844" cy="6078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矢印: 下 11">
            <a:extLst>
              <a:ext uri="{FF2B5EF4-FFF2-40B4-BE49-F238E27FC236}">
                <a16:creationId xmlns:a16="http://schemas.microsoft.com/office/drawing/2014/main" id="{00000000-0008-0000-1000-00000C000000}"/>
              </a:ext>
            </a:extLst>
          </xdr:cNvPr>
          <xdr:cNvSpPr/>
        </xdr:nvSpPr>
        <xdr:spPr>
          <a:xfrm>
            <a:off x="31189573" y="19351740"/>
            <a:ext cx="1924844" cy="6078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矢印: 下 12">
            <a:extLst>
              <a:ext uri="{FF2B5EF4-FFF2-40B4-BE49-F238E27FC236}">
                <a16:creationId xmlns:a16="http://schemas.microsoft.com/office/drawing/2014/main" id="{00000000-0008-0000-1000-00000D000000}"/>
              </a:ext>
            </a:extLst>
          </xdr:cNvPr>
          <xdr:cNvSpPr/>
        </xdr:nvSpPr>
        <xdr:spPr>
          <a:xfrm>
            <a:off x="31183221" y="20793206"/>
            <a:ext cx="1924844" cy="6078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1101535</xdr:colOff>
      <xdr:row>34</xdr:row>
      <xdr:rowOff>158542</xdr:rowOff>
    </xdr:from>
    <xdr:to>
      <xdr:col>15</xdr:col>
      <xdr:colOff>540587</xdr:colOff>
      <xdr:row>34</xdr:row>
      <xdr:rowOff>761791</xdr:rowOff>
    </xdr:to>
    <xdr:sp macro="" textlink="">
      <xdr:nvSpPr>
        <xdr:cNvPr id="22" name="矢印: 下 21">
          <a:extLst>
            <a:ext uri="{FF2B5EF4-FFF2-40B4-BE49-F238E27FC236}">
              <a16:creationId xmlns:a16="http://schemas.microsoft.com/office/drawing/2014/main" id="{00000000-0008-0000-1000-000016000000}"/>
            </a:ext>
          </a:extLst>
        </xdr:cNvPr>
        <xdr:cNvSpPr/>
      </xdr:nvSpPr>
      <xdr:spPr>
        <a:xfrm>
          <a:off x="31914910" y="22818517"/>
          <a:ext cx="1925077" cy="603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1026746</xdr:colOff>
      <xdr:row>23</xdr:row>
      <xdr:rowOff>500672</xdr:rowOff>
    </xdr:from>
    <xdr:ext cx="6647974" cy="692562"/>
    <xdr:sp macro="" textlink="">
      <xdr:nvSpPr>
        <xdr:cNvPr id="23" name="テキスト ボックス 22">
          <a:extLst>
            <a:ext uri="{FF2B5EF4-FFF2-40B4-BE49-F238E27FC236}">
              <a16:creationId xmlns:a16="http://schemas.microsoft.com/office/drawing/2014/main" id="{00000000-0008-0000-1000-000017000000}"/>
            </a:ext>
          </a:extLst>
        </xdr:cNvPr>
        <xdr:cNvSpPr txBox="1"/>
      </xdr:nvSpPr>
      <xdr:spPr>
        <a:xfrm>
          <a:off x="26868071" y="14778647"/>
          <a:ext cx="6647974"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0070C0"/>
              </a:solidFill>
              <a:latin typeface="ＭＳ ゴシック" panose="020B0609070205080204" pitchFamily="49" charset="-128"/>
              <a:ea typeface="ＭＳ ゴシック" panose="020B0609070205080204" pitchFamily="49" charset="-128"/>
            </a:rPr>
            <a:t>とちぎ経営資源引継ぎ支援事業</a:t>
          </a:r>
        </a:p>
      </xdr:txBody>
    </xdr:sp>
    <xdr:clientData/>
  </xdr:oneCellAnchor>
  <xdr:twoCellAnchor>
    <xdr:from>
      <xdr:col>13</xdr:col>
      <xdr:colOff>381000</xdr:colOff>
      <xdr:row>4</xdr:row>
      <xdr:rowOff>457200</xdr:rowOff>
    </xdr:from>
    <xdr:to>
      <xdr:col>16</xdr:col>
      <xdr:colOff>2343150</xdr:colOff>
      <xdr:row>10</xdr:row>
      <xdr:rowOff>0</xdr:rowOff>
    </xdr:to>
    <xdr:sp macro="" textlink="">
      <xdr:nvSpPr>
        <xdr:cNvPr id="24" name="吹き出し: 円形 23">
          <a:extLst>
            <a:ext uri="{FF2B5EF4-FFF2-40B4-BE49-F238E27FC236}">
              <a16:creationId xmlns:a16="http://schemas.microsoft.com/office/drawing/2014/main" id="{00000000-0008-0000-1000-000018000000}"/>
            </a:ext>
          </a:extLst>
        </xdr:cNvPr>
        <xdr:cNvSpPr/>
      </xdr:nvSpPr>
      <xdr:spPr>
        <a:xfrm>
          <a:off x="28708350" y="2352675"/>
          <a:ext cx="9420225" cy="2971800"/>
        </a:xfrm>
        <a:prstGeom prst="wedgeEllipseCallout">
          <a:avLst/>
        </a:prstGeom>
        <a:no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・収支状況を見直し資金繰りを改善させ</a:t>
          </a:r>
          <a:br>
            <a:rPr kumimoji="1" lang="en-US" altLang="ja-JP" sz="2800" b="1">
              <a:solidFill>
                <a:schemeClr val="tx1"/>
              </a:solidFill>
              <a:effectLst/>
              <a:latin typeface="ＭＳ ゴシック" panose="020B0609070205080204" pitchFamily="49" charset="-128"/>
              <a:ea typeface="ＭＳ ゴシック" panose="020B0609070205080204" pitchFamily="49" charset="-128"/>
              <a:cs typeface="+mn-cs"/>
            </a:rPr>
          </a:br>
          <a:r>
            <a:rPr kumimoji="1" lang="ja-JP" altLang="en-US" sz="28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たい</a:t>
          </a:r>
          <a:endParaRPr lang="ja-JP" altLang="ja-JP" sz="2800" b="1">
            <a:solidFill>
              <a:schemeClr val="tx1"/>
            </a:solidFill>
            <a:effectLst/>
            <a:latin typeface="ＭＳ ゴシック" panose="020B0609070205080204" pitchFamily="49" charset="-128"/>
            <a:ea typeface="ＭＳ ゴシック" panose="020B0609070205080204" pitchFamily="49" charset="-128"/>
          </a:endParaRPr>
        </a:p>
        <a:p>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・設備が老朽化しているため、生産性の</a:t>
          </a:r>
          <a:br>
            <a:rPr kumimoji="1" lang="en-US" altLang="ja-JP" sz="2800" b="1">
              <a:solidFill>
                <a:schemeClr val="tx1"/>
              </a:solidFill>
              <a:effectLst/>
              <a:latin typeface="ＭＳ ゴシック" panose="020B0609070205080204" pitchFamily="49" charset="-128"/>
              <a:ea typeface="ＭＳ ゴシック" panose="020B0609070205080204" pitchFamily="49" charset="-128"/>
              <a:cs typeface="+mn-cs"/>
            </a:rPr>
          </a:br>
          <a:r>
            <a:rPr kumimoji="1" lang="ja-JP" altLang="en-US" sz="28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高い設備に一新したい</a:t>
          </a:r>
          <a:endParaRPr lang="ja-JP" altLang="ja-JP" sz="2800" b="1">
            <a:solidFill>
              <a:schemeClr val="tx1"/>
            </a:solidFill>
            <a:effectLst/>
            <a:latin typeface="ＭＳ ゴシック" panose="020B0609070205080204" pitchFamily="49" charset="-128"/>
            <a:ea typeface="ＭＳ ゴシック" panose="020B0609070205080204" pitchFamily="49" charset="-128"/>
          </a:endParaRPr>
        </a:p>
        <a:p>
          <a:r>
            <a:rPr kumimoji="1" lang="ja-JP" altLang="ja-JP" sz="28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800" b="1">
              <a:solidFill>
                <a:schemeClr val="tx1"/>
              </a:solidFill>
              <a:effectLst/>
              <a:latin typeface="ＭＳ ゴシック" panose="020B0609070205080204" pitchFamily="49" charset="-128"/>
              <a:ea typeface="ＭＳ ゴシック" panose="020B0609070205080204" pitchFamily="49" charset="-128"/>
              <a:cs typeface="+mn-cs"/>
            </a:rPr>
            <a:t>後継者への事業承継を円滑に行いたい</a:t>
          </a:r>
          <a:endParaRPr lang="ja-JP" altLang="ja-JP" sz="2800" b="1">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10</xdr:col>
      <xdr:colOff>266700</xdr:colOff>
      <xdr:row>10</xdr:row>
      <xdr:rowOff>19050</xdr:rowOff>
    </xdr:from>
    <xdr:to>
      <xdr:col>16</xdr:col>
      <xdr:colOff>2095500</xdr:colOff>
      <xdr:row>22</xdr:row>
      <xdr:rowOff>438150</xdr:rowOff>
    </xdr:to>
    <xdr:graphicFrame macro="">
      <xdr:nvGraphicFramePr>
        <xdr:cNvPr id="25" name="図表 24">
          <a:extLst>
            <a:ext uri="{FF2B5EF4-FFF2-40B4-BE49-F238E27FC236}">
              <a16:creationId xmlns:a16="http://schemas.microsoft.com/office/drawing/2014/main" id="{00000000-0008-0000-1000-00001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14</xdr:col>
      <xdr:colOff>1695450</xdr:colOff>
      <xdr:row>14</xdr:row>
      <xdr:rowOff>704850</xdr:rowOff>
    </xdr:from>
    <xdr:to>
      <xdr:col>16</xdr:col>
      <xdr:colOff>895350</xdr:colOff>
      <xdr:row>18</xdr:row>
      <xdr:rowOff>133350</xdr:rowOff>
    </xdr:to>
    <xdr:sp macro="" textlink="">
      <xdr:nvSpPr>
        <xdr:cNvPr id="26" name="四角形: 角を丸くする 25">
          <a:extLst>
            <a:ext uri="{FF2B5EF4-FFF2-40B4-BE49-F238E27FC236}">
              <a16:creationId xmlns:a16="http://schemas.microsoft.com/office/drawing/2014/main" id="{00000000-0008-0000-1000-00001A000000}"/>
            </a:ext>
          </a:extLst>
        </xdr:cNvPr>
        <xdr:cNvSpPr/>
      </xdr:nvSpPr>
      <xdr:spPr>
        <a:xfrm>
          <a:off x="32508825" y="8181975"/>
          <a:ext cx="4171950" cy="24193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ゴシック" panose="020B0609070205080204" pitchFamily="49" charset="-128"/>
              <a:ea typeface="ＭＳ ゴシック" panose="020B0609070205080204" pitchFamily="49" charset="-128"/>
            </a:rPr>
            <a:t>☑経営診断</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a:solidFill>
                <a:schemeClr val="tx1"/>
              </a:solidFill>
              <a:latin typeface="ＭＳ ゴシック" panose="020B0609070205080204" pitchFamily="49" charset="-128"/>
              <a:ea typeface="ＭＳ ゴシック" panose="020B0609070205080204" pitchFamily="49" charset="-128"/>
            </a:rPr>
            <a:t>☑計画策定支援</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a:solidFill>
                <a:schemeClr val="tx1"/>
              </a:solidFill>
              <a:latin typeface="ＭＳ ゴシック" panose="020B0609070205080204" pitchFamily="49" charset="-128"/>
              <a:ea typeface="ＭＳ ゴシック" panose="020B0609070205080204" pitchFamily="49" charset="-128"/>
            </a:rPr>
            <a:t>☑フォローアップ</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2228850</xdr:colOff>
      <xdr:row>15</xdr:row>
      <xdr:rowOff>190500</xdr:rowOff>
    </xdr:from>
    <xdr:to>
      <xdr:col>12</xdr:col>
      <xdr:colOff>933450</xdr:colOff>
      <xdr:row>17</xdr:row>
      <xdr:rowOff>457200</xdr:rowOff>
    </xdr:to>
    <xdr:sp macro="" textlink="">
      <xdr:nvSpPr>
        <xdr:cNvPr id="27" name="四角形: 角を丸くする 26">
          <a:extLst>
            <a:ext uri="{FF2B5EF4-FFF2-40B4-BE49-F238E27FC236}">
              <a16:creationId xmlns:a16="http://schemas.microsoft.com/office/drawing/2014/main" id="{00000000-0008-0000-1000-00001B000000}"/>
            </a:ext>
          </a:extLst>
        </xdr:cNvPr>
        <xdr:cNvSpPr/>
      </xdr:nvSpPr>
      <xdr:spPr>
        <a:xfrm>
          <a:off x="23098125" y="8372475"/>
          <a:ext cx="3676650" cy="17907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ゴシック" panose="020B0609070205080204" pitchFamily="49" charset="-128"/>
              <a:ea typeface="ＭＳ ゴシック" panose="020B0609070205080204" pitchFamily="49" charset="-128"/>
            </a:rPr>
            <a:t>☑金融支援</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a:solidFill>
                <a:schemeClr val="tx1"/>
              </a:solidFill>
              <a:latin typeface="ＭＳ ゴシック" panose="020B0609070205080204" pitchFamily="49" charset="-128"/>
              <a:ea typeface="ＭＳ ゴシック" panose="020B0609070205080204" pitchFamily="49" charset="-128"/>
            </a:rPr>
            <a:t>☑フォローアップ</a:t>
          </a:r>
          <a:endParaRPr kumimoji="1" lang="en-US" altLang="ja-JP" sz="3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571500</xdr:colOff>
      <xdr:row>20</xdr:row>
      <xdr:rowOff>285750</xdr:rowOff>
    </xdr:from>
    <xdr:to>
      <xdr:col>13</xdr:col>
      <xdr:colOff>1866900</xdr:colOff>
      <xdr:row>21</xdr:row>
      <xdr:rowOff>171450</xdr:rowOff>
    </xdr:to>
    <xdr:sp macro="" textlink="">
      <xdr:nvSpPr>
        <xdr:cNvPr id="28" name="四角形: 角を丸くする 27">
          <a:extLst>
            <a:ext uri="{FF2B5EF4-FFF2-40B4-BE49-F238E27FC236}">
              <a16:creationId xmlns:a16="http://schemas.microsoft.com/office/drawing/2014/main" id="{00000000-0008-0000-1000-00001C000000}"/>
            </a:ext>
          </a:extLst>
        </xdr:cNvPr>
        <xdr:cNvSpPr/>
      </xdr:nvSpPr>
      <xdr:spPr>
        <a:xfrm>
          <a:off x="28898850" y="12277725"/>
          <a:ext cx="1295400" cy="6477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latin typeface="ＭＳ ゴシック" panose="020B0609070205080204" pitchFamily="49" charset="-128"/>
              <a:ea typeface="ＭＳ ゴシック" panose="020B0609070205080204" pitchFamily="49" charset="-128"/>
            </a:rPr>
            <a:t>連携</a:t>
          </a:r>
        </a:p>
      </xdr:txBody>
    </xdr:sp>
    <xdr:clientData/>
  </xdr:twoCellAnchor>
  <xdr:oneCellAnchor>
    <xdr:from>
      <xdr:col>12</xdr:col>
      <xdr:colOff>1733550</xdr:colOff>
      <xdr:row>1</xdr:row>
      <xdr:rowOff>0</xdr:rowOff>
    </xdr:from>
    <xdr:ext cx="4339650" cy="692562"/>
    <xdr:sp macro="" textlink="">
      <xdr:nvSpPr>
        <xdr:cNvPr id="29" name="テキスト ボックス 28">
          <a:extLst>
            <a:ext uri="{FF2B5EF4-FFF2-40B4-BE49-F238E27FC236}">
              <a16:creationId xmlns:a16="http://schemas.microsoft.com/office/drawing/2014/main" id="{00000000-0008-0000-1000-00001D000000}"/>
            </a:ext>
          </a:extLst>
        </xdr:cNvPr>
        <xdr:cNvSpPr txBox="1"/>
      </xdr:nvSpPr>
      <xdr:spPr>
        <a:xfrm>
          <a:off x="27574875" y="180975"/>
          <a:ext cx="4339650"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0070C0"/>
              </a:solidFill>
              <a:latin typeface="ＭＳ ゴシック" panose="020B0609070205080204" pitchFamily="49" charset="-128"/>
              <a:ea typeface="ＭＳ ゴシック" panose="020B0609070205080204" pitchFamily="49" charset="-128"/>
            </a:rPr>
            <a:t>経営安定化支援事業</a:t>
          </a:r>
        </a:p>
      </xdr:txBody>
    </xdr:sp>
    <xdr:clientData/>
  </xdr:oneCellAnchor>
  <xdr:twoCellAnchor>
    <xdr:from>
      <xdr:col>10</xdr:col>
      <xdr:colOff>190500</xdr:colOff>
      <xdr:row>2</xdr:row>
      <xdr:rowOff>342900</xdr:rowOff>
    </xdr:from>
    <xdr:to>
      <xdr:col>16</xdr:col>
      <xdr:colOff>2362200</xdr:colOff>
      <xdr:row>4</xdr:row>
      <xdr:rowOff>323850</xdr:rowOff>
    </xdr:to>
    <xdr:sp macro="" textlink="">
      <xdr:nvSpPr>
        <xdr:cNvPr id="30" name="正方形/長方形 29">
          <a:extLst>
            <a:ext uri="{FF2B5EF4-FFF2-40B4-BE49-F238E27FC236}">
              <a16:creationId xmlns:a16="http://schemas.microsoft.com/office/drawing/2014/main" id="{00000000-0008-0000-1000-00001E000000}"/>
            </a:ext>
          </a:extLst>
        </xdr:cNvPr>
        <xdr:cNvSpPr/>
      </xdr:nvSpPr>
      <xdr:spPr>
        <a:xfrm>
          <a:off x="21059775" y="1095375"/>
          <a:ext cx="17087850" cy="1123950"/>
        </a:xfrm>
        <a:prstGeom prst="rect">
          <a:avLst/>
        </a:prstGeom>
        <a:solidFill>
          <a:schemeClr val="accent1">
            <a:lumMod val="20000"/>
            <a:lumOff val="80000"/>
          </a:schemeClr>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2800" b="1">
              <a:solidFill>
                <a:schemeClr val="tx1"/>
              </a:solidFill>
              <a:effectLst/>
              <a:latin typeface="ＭＳ ゴシック" panose="020B0609070205080204" pitchFamily="49" charset="-128"/>
              <a:ea typeface="ＭＳ ゴシック" panose="020B0609070205080204" pitchFamily="49" charset="-128"/>
              <a:cs typeface="+mn-cs"/>
            </a:rPr>
            <a:t>中小企業診断士を無料で派遣し、経営改善や生産性向上、事業承継に関わる課題解決に意欲のある事業者のサポートを行います</a:t>
          </a:r>
          <a:endParaRPr lang="ja-JP" altLang="ja-JP" sz="2400" b="1">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3A3B-3516-4E2E-B089-DF03CE47D3EE}">
  <sheetPr codeName="Sheet6">
    <pageSetUpPr fitToPage="1"/>
  </sheetPr>
  <dimension ref="B2:O29"/>
  <sheetViews>
    <sheetView workbookViewId="0"/>
  </sheetViews>
  <sheetFormatPr defaultRowHeight="18"/>
  <cols>
    <col min="1" max="1" width="6" customWidth="1"/>
    <col min="2" max="2" width="44.8984375" customWidth="1"/>
    <col min="3" max="3" width="95.19921875" bestFit="1" customWidth="1"/>
    <col min="4" max="4" width="6.3984375" customWidth="1"/>
    <col min="7" max="7" width="7.09765625" customWidth="1"/>
  </cols>
  <sheetData>
    <row r="2" spans="2:15">
      <c r="B2" s="44" t="s">
        <v>51</v>
      </c>
      <c r="C2" t="s">
        <v>52</v>
      </c>
      <c r="D2" t="s">
        <v>46</v>
      </c>
      <c r="E2" s="45">
        <v>4000</v>
      </c>
      <c r="F2" s="46" t="s">
        <v>45</v>
      </c>
      <c r="G2" s="46" t="s">
        <v>53</v>
      </c>
      <c r="H2" s="45">
        <v>2100</v>
      </c>
      <c r="I2" t="s">
        <v>45</v>
      </c>
      <c r="J2" t="s">
        <v>46</v>
      </c>
      <c r="K2" s="45">
        <v>0</v>
      </c>
      <c r="L2" s="46" t="s">
        <v>45</v>
      </c>
      <c r="M2" s="46" t="s">
        <v>53</v>
      </c>
      <c r="N2" s="45">
        <v>0</v>
      </c>
      <c r="O2" t="s">
        <v>45</v>
      </c>
    </row>
    <row r="3" spans="2:15">
      <c r="C3" t="s">
        <v>54</v>
      </c>
      <c r="D3" t="s">
        <v>46</v>
      </c>
      <c r="E3" s="45">
        <v>2500</v>
      </c>
      <c r="F3" s="46" t="s">
        <v>45</v>
      </c>
      <c r="G3" s="46" t="s">
        <v>53</v>
      </c>
      <c r="H3" s="45">
        <v>1200</v>
      </c>
      <c r="I3" t="s">
        <v>45</v>
      </c>
      <c r="J3" t="s">
        <v>46</v>
      </c>
      <c r="K3" s="45">
        <v>0</v>
      </c>
      <c r="L3" s="46" t="s">
        <v>45</v>
      </c>
      <c r="M3" s="46" t="s">
        <v>53</v>
      </c>
      <c r="N3" s="45">
        <v>0</v>
      </c>
      <c r="O3" t="s">
        <v>45</v>
      </c>
    </row>
    <row r="4" spans="2:15">
      <c r="C4" t="s">
        <v>55</v>
      </c>
      <c r="D4" t="s">
        <v>46</v>
      </c>
      <c r="E4" s="45">
        <v>6000</v>
      </c>
      <c r="F4" s="46" t="s">
        <v>45</v>
      </c>
      <c r="G4" s="46" t="s">
        <v>53</v>
      </c>
      <c r="H4" s="45">
        <v>3000</v>
      </c>
      <c r="I4" t="s">
        <v>45</v>
      </c>
      <c r="J4" t="s">
        <v>46</v>
      </c>
      <c r="K4" s="45"/>
      <c r="L4" s="46" t="s">
        <v>45</v>
      </c>
      <c r="M4" s="46" t="s">
        <v>53</v>
      </c>
      <c r="N4" s="45"/>
      <c r="O4" t="s">
        <v>45</v>
      </c>
    </row>
    <row r="5" spans="2:15">
      <c r="C5" t="s">
        <v>56</v>
      </c>
      <c r="D5" t="s">
        <v>46</v>
      </c>
      <c r="E5" s="45">
        <v>6000</v>
      </c>
      <c r="F5" s="46" t="s">
        <v>45</v>
      </c>
      <c r="G5" s="46" t="s">
        <v>53</v>
      </c>
      <c r="H5" s="45">
        <v>3000</v>
      </c>
      <c r="I5" t="s">
        <v>45</v>
      </c>
      <c r="J5" t="s">
        <v>46</v>
      </c>
      <c r="K5" s="45"/>
      <c r="L5" s="46" t="s">
        <v>45</v>
      </c>
      <c r="M5" s="46" t="s">
        <v>53</v>
      </c>
      <c r="N5" s="45"/>
      <c r="O5" t="s">
        <v>45</v>
      </c>
    </row>
    <row r="6" spans="2:15">
      <c r="C6" t="s">
        <v>57</v>
      </c>
      <c r="D6" t="s">
        <v>46</v>
      </c>
      <c r="E6" s="45">
        <v>5000</v>
      </c>
      <c r="F6" s="46" t="s">
        <v>45</v>
      </c>
      <c r="G6" s="46" t="s">
        <v>53</v>
      </c>
      <c r="H6" s="45">
        <v>2500</v>
      </c>
      <c r="I6" t="s">
        <v>45</v>
      </c>
      <c r="J6" t="s">
        <v>46</v>
      </c>
      <c r="K6" s="45"/>
      <c r="L6" s="46" t="s">
        <v>45</v>
      </c>
      <c r="M6" s="46" t="s">
        <v>53</v>
      </c>
      <c r="N6" s="45"/>
      <c r="O6" t="s">
        <v>45</v>
      </c>
    </row>
    <row r="7" spans="2:15">
      <c r="C7" t="s">
        <v>58</v>
      </c>
      <c r="D7" t="s">
        <v>46</v>
      </c>
      <c r="E7" s="45">
        <v>4500</v>
      </c>
      <c r="F7" s="46" t="s">
        <v>45</v>
      </c>
      <c r="G7" s="46" t="s">
        <v>53</v>
      </c>
      <c r="H7" s="45">
        <v>2500</v>
      </c>
      <c r="I7" t="s">
        <v>45</v>
      </c>
      <c r="J7" t="s">
        <v>46</v>
      </c>
      <c r="K7" s="45"/>
      <c r="L7" s="46" t="s">
        <v>45</v>
      </c>
      <c r="M7" s="46" t="s">
        <v>53</v>
      </c>
      <c r="N7" s="45"/>
      <c r="O7" t="s">
        <v>45</v>
      </c>
    </row>
    <row r="8" spans="2:15">
      <c r="B8" t="s">
        <v>59</v>
      </c>
      <c r="C8" t="s">
        <v>60</v>
      </c>
      <c r="E8" s="45">
        <v>250</v>
      </c>
      <c r="F8" t="s">
        <v>45</v>
      </c>
      <c r="J8" t="s">
        <v>118</v>
      </c>
    </row>
    <row r="9" spans="2:15">
      <c r="C9" t="s">
        <v>61</v>
      </c>
      <c r="E9" s="45">
        <v>700</v>
      </c>
      <c r="F9" t="s">
        <v>45</v>
      </c>
    </row>
    <row r="10" spans="2:15">
      <c r="C10" t="s">
        <v>62</v>
      </c>
      <c r="E10" s="45">
        <v>25</v>
      </c>
      <c r="F10" t="s">
        <v>45</v>
      </c>
    </row>
    <row r="11" spans="2:15">
      <c r="C11" t="s">
        <v>63</v>
      </c>
      <c r="E11" s="45">
        <v>250</v>
      </c>
      <c r="F11" t="s">
        <v>45</v>
      </c>
    </row>
    <row r="12" spans="2:15">
      <c r="C12" t="s">
        <v>102</v>
      </c>
      <c r="E12" s="45">
        <v>50</v>
      </c>
      <c r="F12" t="s">
        <v>45</v>
      </c>
    </row>
    <row r="13" spans="2:15">
      <c r="C13" t="s">
        <v>121</v>
      </c>
      <c r="E13" s="45">
        <v>150</v>
      </c>
      <c r="F13" t="s">
        <v>45</v>
      </c>
    </row>
    <row r="14" spans="2:15">
      <c r="B14" t="s">
        <v>65</v>
      </c>
      <c r="C14" t="s">
        <v>66</v>
      </c>
      <c r="E14" s="45">
        <v>4000</v>
      </c>
      <c r="F14" t="s">
        <v>45</v>
      </c>
    </row>
    <row r="15" spans="2:15">
      <c r="B15" s="284" t="s">
        <v>101</v>
      </c>
      <c r="C15" t="s">
        <v>116</v>
      </c>
      <c r="E15" s="95">
        <v>0.4</v>
      </c>
    </row>
    <row r="16" spans="2:15">
      <c r="B16" s="284"/>
      <c r="C16" t="s">
        <v>114</v>
      </c>
      <c r="E16" s="95">
        <v>0</v>
      </c>
    </row>
    <row r="17" spans="2:5">
      <c r="B17" s="284"/>
      <c r="C17" s="94" t="s">
        <v>113</v>
      </c>
      <c r="E17" s="95">
        <v>0.3</v>
      </c>
    </row>
    <row r="18" spans="2:5">
      <c r="C18" s="94" t="s">
        <v>108</v>
      </c>
      <c r="E18" s="95">
        <v>0.3</v>
      </c>
    </row>
    <row r="19" spans="2:5">
      <c r="C19" s="94" t="s">
        <v>109</v>
      </c>
      <c r="E19" s="95">
        <v>0</v>
      </c>
    </row>
    <row r="20" spans="2:5">
      <c r="C20" s="94" t="s">
        <v>110</v>
      </c>
      <c r="E20" s="95">
        <v>0</v>
      </c>
    </row>
    <row r="21" spans="2:5">
      <c r="B21" s="284" t="s">
        <v>100</v>
      </c>
      <c r="C21" s="94" t="s">
        <v>117</v>
      </c>
      <c r="E21" s="95">
        <v>0.7</v>
      </c>
    </row>
    <row r="22" spans="2:5">
      <c r="B22" s="284"/>
      <c r="C22" s="94" t="s">
        <v>115</v>
      </c>
      <c r="E22" s="95">
        <v>0.3</v>
      </c>
    </row>
    <row r="23" spans="2:5">
      <c r="B23" s="284"/>
      <c r="C23" s="94" t="s">
        <v>112</v>
      </c>
      <c r="E23" s="95">
        <v>0</v>
      </c>
    </row>
    <row r="24" spans="2:5">
      <c r="C24" s="94" t="s">
        <v>108</v>
      </c>
      <c r="E24" s="95">
        <v>0</v>
      </c>
    </row>
    <row r="25" spans="2:5">
      <c r="C25" s="94" t="s">
        <v>111</v>
      </c>
      <c r="E25" s="95">
        <v>0</v>
      </c>
    </row>
    <row r="26" spans="2:5">
      <c r="C26" s="94" t="s">
        <v>110</v>
      </c>
      <c r="E26" s="95">
        <v>0</v>
      </c>
    </row>
    <row r="27" spans="2:5">
      <c r="B27" t="s">
        <v>89</v>
      </c>
      <c r="C27" s="94" t="s">
        <v>120</v>
      </c>
    </row>
    <row r="29" spans="2:5">
      <c r="B29" t="s">
        <v>119</v>
      </c>
    </row>
  </sheetData>
  <mergeCells count="2">
    <mergeCell ref="B15:B17"/>
    <mergeCell ref="B21:B23"/>
  </mergeCells>
  <phoneticPr fontId="3"/>
  <pageMargins left="0.7" right="0.7" top="0.75" bottom="0.75" header="0.3" footer="0.3"/>
  <pageSetup paperSize="9"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43B9-75AA-453A-959D-65C5A88E96DD}">
  <sheetPr codeName="Sheet17">
    <pageSetUpPr fitToPage="1"/>
  </sheetPr>
  <dimension ref="A1:Q40"/>
  <sheetViews>
    <sheetView workbookViewId="0"/>
  </sheetViews>
  <sheetFormatPr defaultRowHeight="18"/>
  <cols>
    <col min="1" max="1" width="32.3984375" customWidth="1"/>
    <col min="2" max="7" width="32.69921875" customWidth="1"/>
    <col min="8" max="10" width="15" customWidth="1"/>
    <col min="11" max="17" width="32.59765625" customWidth="1"/>
    <col min="18" max="19" width="11.09765625" customWidth="1"/>
  </cols>
  <sheetData>
    <row r="1" spans="1:17" ht="14.25" customHeight="1">
      <c r="H1" s="36"/>
      <c r="I1" s="36"/>
      <c r="J1" s="36"/>
    </row>
    <row r="2" spans="1:17" ht="45" customHeight="1">
      <c r="A2" s="330" t="s">
        <v>0</v>
      </c>
      <c r="B2" s="331" t="e">
        <f>#REF!</f>
        <v>#REF!</v>
      </c>
      <c r="C2" s="332"/>
      <c r="D2" s="43" t="s">
        <v>1</v>
      </c>
      <c r="E2" s="43" t="e">
        <f>#REF!</f>
        <v>#REF!</v>
      </c>
      <c r="F2" s="43" t="s">
        <v>2</v>
      </c>
      <c r="G2" s="1" t="e">
        <f>#REF!</f>
        <v>#REF!</v>
      </c>
      <c r="K2" s="337" t="s">
        <v>26</v>
      </c>
      <c r="L2" s="338"/>
      <c r="M2" s="338"/>
      <c r="N2" s="338"/>
      <c r="O2" s="338"/>
      <c r="P2" s="338"/>
      <c r="Q2" s="339"/>
    </row>
    <row r="3" spans="1:17" ht="45" customHeight="1">
      <c r="A3" s="330"/>
      <c r="B3" s="333"/>
      <c r="C3" s="334"/>
      <c r="D3" s="43" t="s">
        <v>3</v>
      </c>
      <c r="E3" s="1" t="s">
        <v>4</v>
      </c>
      <c r="F3" s="43" t="s">
        <v>5</v>
      </c>
      <c r="G3" s="1" t="e">
        <f>#REF!</f>
        <v>#REF!</v>
      </c>
      <c r="K3" s="340"/>
      <c r="L3" s="341"/>
      <c r="M3" s="341"/>
      <c r="N3" s="341"/>
      <c r="O3" s="341"/>
      <c r="P3" s="341"/>
      <c r="Q3" s="342"/>
    </row>
    <row r="4" spans="1:17" ht="45" customHeight="1">
      <c r="A4" s="330"/>
      <c r="B4" s="335"/>
      <c r="C4" s="336"/>
      <c r="D4" s="43" t="s">
        <v>6</v>
      </c>
      <c r="E4" s="1" t="e">
        <f>#REF!</f>
        <v>#REF!</v>
      </c>
      <c r="F4" s="43" t="s">
        <v>7</v>
      </c>
      <c r="G4" s="43" t="e">
        <f>IF(OR(#REF!="□有　□無",#REF!=""),"",IF(#REF!="■有　□無","有", IF(#REF!="□有　■無","無")))</f>
        <v>#REF!</v>
      </c>
      <c r="K4" s="340"/>
      <c r="L4" s="341"/>
      <c r="M4" s="341"/>
      <c r="N4" s="341"/>
      <c r="O4" s="341"/>
      <c r="P4" s="341"/>
      <c r="Q4" s="342"/>
    </row>
    <row r="5" spans="1:17" ht="45" customHeight="1">
      <c r="A5" s="2" t="s">
        <v>8</v>
      </c>
      <c r="B5" s="330"/>
      <c r="C5" s="330"/>
      <c r="D5" s="330"/>
      <c r="E5" s="330"/>
      <c r="F5" s="330"/>
      <c r="G5" s="330"/>
      <c r="K5" s="340"/>
      <c r="L5" s="341"/>
      <c r="M5" s="341"/>
      <c r="N5" s="341"/>
      <c r="O5" s="341"/>
      <c r="P5" s="341"/>
      <c r="Q5" s="342"/>
    </row>
    <row r="6" spans="1:17" ht="45" customHeight="1">
      <c r="A6" s="330" t="s">
        <v>9</v>
      </c>
      <c r="B6" s="330" t="e">
        <f>#REF!</f>
        <v>#REF!</v>
      </c>
      <c r="C6" s="330"/>
      <c r="D6" s="330"/>
      <c r="E6" s="330"/>
      <c r="F6" s="330"/>
      <c r="G6" s="330"/>
      <c r="K6" s="340"/>
      <c r="L6" s="341"/>
      <c r="M6" s="341"/>
      <c r="N6" s="341"/>
      <c r="O6" s="341"/>
      <c r="P6" s="341"/>
      <c r="Q6" s="342"/>
    </row>
    <row r="7" spans="1:17" ht="45" customHeight="1">
      <c r="A7" s="330"/>
      <c r="B7" s="330"/>
      <c r="C7" s="330"/>
      <c r="D7" s="330"/>
      <c r="E7" s="330"/>
      <c r="F7" s="330"/>
      <c r="G7" s="330"/>
      <c r="K7" s="340"/>
      <c r="L7" s="341"/>
      <c r="M7" s="341"/>
      <c r="N7" s="341"/>
      <c r="O7" s="341"/>
      <c r="P7" s="341"/>
      <c r="Q7" s="342"/>
    </row>
    <row r="8" spans="1:17" ht="45" customHeight="1">
      <c r="A8" s="330" t="s">
        <v>10</v>
      </c>
      <c r="B8" s="330" t="e">
        <f>#REF!</f>
        <v>#REF!</v>
      </c>
      <c r="C8" s="330"/>
      <c r="D8" s="330"/>
      <c r="E8" s="330"/>
      <c r="F8" s="330"/>
      <c r="G8" s="330"/>
      <c r="K8" s="340"/>
      <c r="L8" s="341"/>
      <c r="M8" s="341"/>
      <c r="N8" s="341"/>
      <c r="O8" s="341"/>
      <c r="P8" s="341"/>
      <c r="Q8" s="342"/>
    </row>
    <row r="9" spans="1:17" ht="45" customHeight="1">
      <c r="A9" s="330"/>
      <c r="B9" s="330"/>
      <c r="C9" s="330"/>
      <c r="D9" s="330"/>
      <c r="E9" s="330"/>
      <c r="F9" s="330"/>
      <c r="G9" s="330"/>
      <c r="K9" s="340"/>
      <c r="L9" s="341"/>
      <c r="M9" s="341"/>
      <c r="N9" s="341"/>
      <c r="O9" s="341"/>
      <c r="P9" s="341"/>
      <c r="Q9" s="342"/>
    </row>
    <row r="10" spans="1:17" ht="45" customHeight="1">
      <c r="A10" s="330" t="s">
        <v>43</v>
      </c>
      <c r="B10" s="330" t="e">
        <f>#REF!</f>
        <v>#REF!</v>
      </c>
      <c r="C10" s="330"/>
      <c r="D10" s="330"/>
      <c r="E10" s="330"/>
      <c r="F10" s="330"/>
      <c r="G10" s="330"/>
      <c r="K10" s="340"/>
      <c r="L10" s="341"/>
      <c r="M10" s="341"/>
      <c r="N10" s="341"/>
      <c r="O10" s="341"/>
      <c r="P10" s="341"/>
      <c r="Q10" s="342"/>
    </row>
    <row r="11" spans="1:17" ht="45" customHeight="1">
      <c r="A11" s="330"/>
      <c r="B11" s="330"/>
      <c r="C11" s="330"/>
      <c r="D11" s="330"/>
      <c r="E11" s="330"/>
      <c r="F11" s="330"/>
      <c r="G11" s="330"/>
      <c r="K11" s="340"/>
      <c r="L11" s="341"/>
      <c r="M11" s="341"/>
      <c r="N11" s="341"/>
      <c r="O11" s="341"/>
      <c r="P11" s="341"/>
      <c r="Q11" s="342"/>
    </row>
    <row r="12" spans="1:17" ht="45" customHeight="1">
      <c r="A12" s="346" t="s">
        <v>44</v>
      </c>
      <c r="B12" s="330" t="e">
        <f>#REF!</f>
        <v>#REF!</v>
      </c>
      <c r="C12" s="330"/>
      <c r="D12" s="330"/>
      <c r="E12" s="330"/>
      <c r="F12" s="330"/>
      <c r="G12" s="330"/>
      <c r="K12" s="340"/>
      <c r="L12" s="341"/>
      <c r="M12" s="341"/>
      <c r="N12" s="341"/>
      <c r="O12" s="341"/>
      <c r="P12" s="341"/>
      <c r="Q12" s="342"/>
    </row>
    <row r="13" spans="1:17" ht="45" customHeight="1">
      <c r="A13" s="330"/>
      <c r="B13" s="330"/>
      <c r="C13" s="330"/>
      <c r="D13" s="330"/>
      <c r="E13" s="330"/>
      <c r="F13" s="330"/>
      <c r="G13" s="330"/>
      <c r="K13" s="340"/>
      <c r="L13" s="341"/>
      <c r="M13" s="341"/>
      <c r="N13" s="341"/>
      <c r="O13" s="341"/>
      <c r="P13" s="341"/>
      <c r="Q13" s="342"/>
    </row>
    <row r="14" spans="1:17" ht="45" customHeight="1">
      <c r="K14" s="340"/>
      <c r="L14" s="341"/>
      <c r="M14" s="341"/>
      <c r="N14" s="341"/>
      <c r="O14" s="341"/>
      <c r="P14" s="341"/>
      <c r="Q14" s="342"/>
    </row>
    <row r="15" spans="1:17" ht="45" customHeight="1">
      <c r="B15" s="3"/>
      <c r="C15" s="3"/>
      <c r="D15" s="3"/>
      <c r="E15" s="3"/>
      <c r="F15" s="3"/>
      <c r="G15" s="4" t="s">
        <v>11</v>
      </c>
      <c r="H15" s="3"/>
      <c r="I15" s="3"/>
      <c r="J15" s="3"/>
      <c r="K15" s="340"/>
      <c r="L15" s="341"/>
      <c r="M15" s="341"/>
      <c r="N15" s="341"/>
      <c r="O15" s="341"/>
      <c r="P15" s="341"/>
      <c r="Q15" s="342"/>
    </row>
    <row r="16" spans="1:17" ht="60" customHeight="1">
      <c r="A16" s="5" t="s">
        <v>12</v>
      </c>
      <c r="B16" s="6" t="s">
        <v>13</v>
      </c>
      <c r="C16" s="6" t="s">
        <v>14</v>
      </c>
      <c r="D16" s="6" t="s">
        <v>15</v>
      </c>
      <c r="E16" s="6" t="s">
        <v>16</v>
      </c>
      <c r="F16" s="6" t="s">
        <v>17</v>
      </c>
      <c r="G16" s="6" t="s">
        <v>18</v>
      </c>
      <c r="K16" s="340"/>
      <c r="L16" s="341"/>
      <c r="M16" s="341"/>
      <c r="N16" s="341"/>
      <c r="O16" s="341"/>
      <c r="P16" s="341"/>
      <c r="Q16" s="342"/>
    </row>
    <row r="17" spans="1:17" ht="60" customHeight="1">
      <c r="A17" s="7" t="s">
        <v>28</v>
      </c>
      <c r="B17" s="8"/>
      <c r="C17" s="9">
        <f>B38</f>
        <v>0</v>
      </c>
      <c r="D17" s="8">
        <f>C38</f>
        <v>0</v>
      </c>
      <c r="E17" s="9">
        <f>D38</f>
        <v>0</v>
      </c>
      <c r="F17" s="9">
        <f>E38</f>
        <v>0</v>
      </c>
      <c r="G17" s="10">
        <f>F38</f>
        <v>0</v>
      </c>
      <c r="K17" s="340"/>
      <c r="L17" s="341"/>
      <c r="M17" s="341"/>
      <c r="N17" s="341"/>
      <c r="O17" s="341"/>
      <c r="P17" s="341"/>
      <c r="Q17" s="342"/>
    </row>
    <row r="18" spans="1:17" ht="60" customHeight="1">
      <c r="A18" s="11" t="s">
        <v>19</v>
      </c>
      <c r="B18" s="12"/>
      <c r="C18" s="13"/>
      <c r="D18" s="12"/>
      <c r="E18" s="13"/>
      <c r="F18" s="13"/>
      <c r="G18" s="14"/>
      <c r="K18" s="340"/>
      <c r="L18" s="341"/>
      <c r="M18" s="341"/>
      <c r="N18" s="341"/>
      <c r="O18" s="341"/>
      <c r="P18" s="341"/>
      <c r="Q18" s="342"/>
    </row>
    <row r="19" spans="1:17" ht="60" customHeight="1">
      <c r="A19" s="15" t="s">
        <v>29</v>
      </c>
      <c r="B19" s="16"/>
      <c r="C19" s="17"/>
      <c r="D19" s="16"/>
      <c r="E19" s="17"/>
      <c r="F19" s="17"/>
      <c r="G19" s="18"/>
      <c r="K19" s="340"/>
      <c r="L19" s="341"/>
      <c r="M19" s="341"/>
      <c r="N19" s="341"/>
      <c r="O19" s="341"/>
      <c r="P19" s="341"/>
      <c r="Q19" s="342"/>
    </row>
    <row r="20" spans="1:17" ht="60" customHeight="1">
      <c r="A20" s="15" t="s">
        <v>30</v>
      </c>
      <c r="B20" s="16"/>
      <c r="C20" s="17"/>
      <c r="D20" s="16"/>
      <c r="E20" s="17"/>
      <c r="F20" s="17"/>
      <c r="G20" s="18"/>
      <c r="K20" s="340"/>
      <c r="L20" s="341"/>
      <c r="M20" s="341"/>
      <c r="N20" s="341"/>
      <c r="O20" s="341"/>
      <c r="P20" s="341"/>
      <c r="Q20" s="342"/>
    </row>
    <row r="21" spans="1:17" ht="60" customHeight="1">
      <c r="A21" s="19" t="s">
        <v>20</v>
      </c>
      <c r="B21" s="20"/>
      <c r="C21" s="21"/>
      <c r="D21" s="20"/>
      <c r="E21" s="21"/>
      <c r="F21" s="21"/>
      <c r="G21" s="22"/>
      <c r="K21" s="340"/>
      <c r="L21" s="341"/>
      <c r="M21" s="341"/>
      <c r="N21" s="341"/>
      <c r="O21" s="341"/>
      <c r="P21" s="341"/>
      <c r="Q21" s="342"/>
    </row>
    <row r="22" spans="1:17" ht="60" customHeight="1">
      <c r="A22" s="23" t="s">
        <v>21</v>
      </c>
      <c r="B22" s="24">
        <f t="shared" ref="B22:G22" si="0">SUM(B18:B21)</f>
        <v>0</v>
      </c>
      <c r="C22" s="25">
        <f t="shared" si="0"/>
        <v>0</v>
      </c>
      <c r="D22" s="24">
        <f t="shared" si="0"/>
        <v>0</v>
      </c>
      <c r="E22" s="25">
        <f t="shared" si="0"/>
        <v>0</v>
      </c>
      <c r="F22" s="25">
        <f t="shared" si="0"/>
        <v>0</v>
      </c>
      <c r="G22" s="26">
        <f t="shared" si="0"/>
        <v>0</v>
      </c>
      <c r="K22" s="340"/>
      <c r="L22" s="341"/>
      <c r="M22" s="341"/>
      <c r="N22" s="341"/>
      <c r="O22" s="341"/>
      <c r="P22" s="341"/>
      <c r="Q22" s="342"/>
    </row>
    <row r="23" spans="1:17" ht="60" customHeight="1">
      <c r="A23" s="27" t="s">
        <v>22</v>
      </c>
      <c r="B23" s="28"/>
      <c r="C23" s="29"/>
      <c r="D23" s="28"/>
      <c r="E23" s="29"/>
      <c r="F23" s="29"/>
      <c r="G23" s="30"/>
      <c r="K23" s="343"/>
      <c r="L23" s="344"/>
      <c r="M23" s="344"/>
      <c r="N23" s="344"/>
      <c r="O23" s="344"/>
      <c r="P23" s="344"/>
      <c r="Q23" s="345"/>
    </row>
    <row r="24" spans="1:17" ht="60" customHeight="1">
      <c r="A24" s="15" t="s">
        <v>31</v>
      </c>
      <c r="B24" s="16"/>
      <c r="C24" s="17"/>
      <c r="D24" s="16"/>
      <c r="E24" s="17"/>
      <c r="F24" s="17"/>
      <c r="G24" s="18"/>
      <c r="K24" s="340"/>
      <c r="L24" s="341"/>
      <c r="M24" s="341"/>
      <c r="N24" s="341"/>
      <c r="O24" s="341"/>
      <c r="P24" s="341"/>
      <c r="Q24" s="342"/>
    </row>
    <row r="25" spans="1:17" ht="60" customHeight="1">
      <c r="A25" s="15" t="s">
        <v>32</v>
      </c>
      <c r="B25" s="16"/>
      <c r="C25" s="17"/>
      <c r="D25" s="16"/>
      <c r="E25" s="17"/>
      <c r="F25" s="17"/>
      <c r="G25" s="18"/>
      <c r="K25" s="340"/>
      <c r="L25" s="341"/>
      <c r="M25" s="341"/>
      <c r="N25" s="341"/>
      <c r="O25" s="341"/>
      <c r="P25" s="341"/>
      <c r="Q25" s="342"/>
    </row>
    <row r="26" spans="1:17" ht="60" customHeight="1">
      <c r="A26" s="15" t="s">
        <v>23</v>
      </c>
      <c r="B26" s="16"/>
      <c r="C26" s="17"/>
      <c r="D26" s="16"/>
      <c r="E26" s="17"/>
      <c r="F26" s="17"/>
      <c r="G26" s="18"/>
      <c r="K26" s="340"/>
      <c r="L26" s="341"/>
      <c r="M26" s="341"/>
      <c r="N26" s="341"/>
      <c r="O26" s="341"/>
      <c r="P26" s="341"/>
      <c r="Q26" s="342"/>
    </row>
    <row r="27" spans="1:17" ht="60" customHeight="1">
      <c r="A27" s="15" t="s">
        <v>33</v>
      </c>
      <c r="B27" s="16"/>
      <c r="C27" s="17"/>
      <c r="D27" s="16"/>
      <c r="E27" s="17"/>
      <c r="F27" s="17"/>
      <c r="G27" s="18"/>
      <c r="K27" s="340"/>
      <c r="L27" s="341"/>
      <c r="M27" s="341"/>
      <c r="N27" s="341"/>
      <c r="O27" s="341"/>
      <c r="P27" s="341"/>
      <c r="Q27" s="342"/>
    </row>
    <row r="28" spans="1:17" ht="60" customHeight="1">
      <c r="A28" s="15" t="s">
        <v>34</v>
      </c>
      <c r="B28" s="16"/>
      <c r="C28" s="17"/>
      <c r="D28" s="16"/>
      <c r="E28" s="17"/>
      <c r="F28" s="17"/>
      <c r="G28" s="18"/>
      <c r="K28" s="340"/>
      <c r="L28" s="341"/>
      <c r="M28" s="341"/>
      <c r="N28" s="341"/>
      <c r="O28" s="341"/>
      <c r="P28" s="341"/>
      <c r="Q28" s="342"/>
    </row>
    <row r="29" spans="1:17" ht="60" customHeight="1">
      <c r="A29" s="19" t="s">
        <v>35</v>
      </c>
      <c r="B29" s="20"/>
      <c r="C29" s="21"/>
      <c r="D29" s="20"/>
      <c r="E29" s="21"/>
      <c r="F29" s="21"/>
      <c r="G29" s="22"/>
      <c r="K29" s="340"/>
      <c r="L29" s="341"/>
      <c r="M29" s="341"/>
      <c r="N29" s="341"/>
      <c r="O29" s="341"/>
      <c r="P29" s="341"/>
      <c r="Q29" s="342"/>
    </row>
    <row r="30" spans="1:17" ht="60" customHeight="1">
      <c r="A30" s="31" t="s">
        <v>36</v>
      </c>
      <c r="B30" s="8">
        <f t="shared" ref="B30:G30" si="1">SUM(B23:B29)</f>
        <v>0</v>
      </c>
      <c r="C30" s="9">
        <f t="shared" si="1"/>
        <v>0</v>
      </c>
      <c r="D30" s="8">
        <f t="shared" si="1"/>
        <v>0</v>
      </c>
      <c r="E30" s="9">
        <f t="shared" si="1"/>
        <v>0</v>
      </c>
      <c r="F30" s="9">
        <f t="shared" si="1"/>
        <v>0</v>
      </c>
      <c r="G30" s="10">
        <f t="shared" si="1"/>
        <v>0</v>
      </c>
      <c r="K30" s="340"/>
      <c r="L30" s="341"/>
      <c r="M30" s="341"/>
      <c r="N30" s="341"/>
      <c r="O30" s="341"/>
      <c r="P30" s="341"/>
      <c r="Q30" s="342"/>
    </row>
    <row r="31" spans="1:17" ht="60" customHeight="1">
      <c r="A31" s="32" t="s">
        <v>37</v>
      </c>
      <c r="B31" s="33">
        <f t="shared" ref="B31:G31" si="2">B22-B30</f>
        <v>0</v>
      </c>
      <c r="C31" s="34">
        <f t="shared" si="2"/>
        <v>0</v>
      </c>
      <c r="D31" s="33">
        <f t="shared" si="2"/>
        <v>0</v>
      </c>
      <c r="E31" s="34">
        <f t="shared" si="2"/>
        <v>0</v>
      </c>
      <c r="F31" s="34">
        <f t="shared" si="2"/>
        <v>0</v>
      </c>
      <c r="G31" s="35">
        <f t="shared" si="2"/>
        <v>0</v>
      </c>
      <c r="K31" s="340"/>
      <c r="L31" s="341"/>
      <c r="M31" s="341"/>
      <c r="N31" s="341"/>
      <c r="O31" s="341"/>
      <c r="P31" s="341"/>
      <c r="Q31" s="342"/>
    </row>
    <row r="32" spans="1:17" ht="60" customHeight="1">
      <c r="A32" s="31" t="s">
        <v>38</v>
      </c>
      <c r="B32" s="9" t="e">
        <f t="shared" ref="B32:G32" si="3">B22/B30</f>
        <v>#DIV/0!</v>
      </c>
      <c r="C32" s="9" t="e">
        <f t="shared" si="3"/>
        <v>#DIV/0!</v>
      </c>
      <c r="D32" s="9" t="e">
        <f t="shared" si="3"/>
        <v>#DIV/0!</v>
      </c>
      <c r="E32" s="9" t="e">
        <f t="shared" si="3"/>
        <v>#DIV/0!</v>
      </c>
      <c r="F32" s="9" t="e">
        <f t="shared" si="3"/>
        <v>#DIV/0!</v>
      </c>
      <c r="G32" s="9" t="e">
        <f t="shared" si="3"/>
        <v>#DIV/0!</v>
      </c>
      <c r="K32" s="340"/>
      <c r="L32" s="341"/>
      <c r="M32" s="341"/>
      <c r="N32" s="341"/>
      <c r="O32" s="341"/>
      <c r="P32" s="341"/>
      <c r="Q32" s="342"/>
    </row>
    <row r="33" spans="1:17" ht="60" customHeight="1">
      <c r="A33" s="11" t="s">
        <v>24</v>
      </c>
      <c r="B33" s="12"/>
      <c r="C33" s="13"/>
      <c r="D33" s="12"/>
      <c r="E33" s="13"/>
      <c r="F33" s="13"/>
      <c r="G33" s="14"/>
      <c r="K33" s="340"/>
      <c r="L33" s="341"/>
      <c r="M33" s="341"/>
      <c r="N33" s="341"/>
      <c r="O33" s="341"/>
      <c r="P33" s="341"/>
      <c r="Q33" s="342"/>
    </row>
    <row r="34" spans="1:17" ht="60" customHeight="1">
      <c r="A34" s="37" t="s">
        <v>39</v>
      </c>
      <c r="B34" s="38"/>
      <c r="C34" s="34"/>
      <c r="D34" s="38"/>
      <c r="E34" s="34"/>
      <c r="F34" s="34"/>
      <c r="G34" s="35"/>
      <c r="K34" s="340"/>
      <c r="L34" s="341"/>
      <c r="M34" s="341"/>
      <c r="N34" s="341"/>
      <c r="O34" s="341"/>
      <c r="P34" s="341"/>
      <c r="Q34" s="342"/>
    </row>
    <row r="35" spans="1:17" ht="60" customHeight="1">
      <c r="A35" s="39" t="s">
        <v>25</v>
      </c>
      <c r="B35" s="40"/>
      <c r="C35" s="41"/>
      <c r="D35" s="40"/>
      <c r="E35" s="41"/>
      <c r="F35" s="41"/>
      <c r="G35" s="42"/>
      <c r="K35" s="340"/>
      <c r="L35" s="341"/>
      <c r="M35" s="341"/>
      <c r="N35" s="341"/>
      <c r="O35" s="341"/>
      <c r="P35" s="341"/>
      <c r="Q35" s="342"/>
    </row>
    <row r="36" spans="1:17" ht="60" customHeight="1">
      <c r="A36" s="31" t="s">
        <v>40</v>
      </c>
      <c r="B36" s="9">
        <f t="shared" ref="B36:G36" si="4">B33+B34-B35</f>
        <v>0</v>
      </c>
      <c r="C36" s="9">
        <f t="shared" si="4"/>
        <v>0</v>
      </c>
      <c r="D36" s="9">
        <f t="shared" si="4"/>
        <v>0</v>
      </c>
      <c r="E36" s="9">
        <f t="shared" si="4"/>
        <v>0</v>
      </c>
      <c r="F36" s="9">
        <f t="shared" si="4"/>
        <v>0</v>
      </c>
      <c r="G36" s="9">
        <f t="shared" si="4"/>
        <v>0</v>
      </c>
      <c r="K36" s="340"/>
      <c r="L36" s="341"/>
      <c r="M36" s="341"/>
      <c r="N36" s="341"/>
      <c r="O36" s="341"/>
      <c r="P36" s="341"/>
      <c r="Q36" s="342"/>
    </row>
    <row r="37" spans="1:17" ht="60" customHeight="1">
      <c r="A37" s="32" t="s">
        <v>41</v>
      </c>
      <c r="B37" s="34">
        <f t="shared" ref="B37:G37" si="5">B31+B36</f>
        <v>0</v>
      </c>
      <c r="C37" s="34">
        <f t="shared" si="5"/>
        <v>0</v>
      </c>
      <c r="D37" s="34">
        <f t="shared" si="5"/>
        <v>0</v>
      </c>
      <c r="E37" s="34">
        <f t="shared" si="5"/>
        <v>0</v>
      </c>
      <c r="F37" s="34">
        <f t="shared" si="5"/>
        <v>0</v>
      </c>
      <c r="G37" s="34">
        <f t="shared" si="5"/>
        <v>0</v>
      </c>
      <c r="K37" s="343"/>
      <c r="L37" s="344"/>
      <c r="M37" s="344"/>
      <c r="N37" s="344"/>
      <c r="O37" s="344"/>
      <c r="P37" s="344"/>
      <c r="Q37" s="345"/>
    </row>
    <row r="38" spans="1:17" ht="60" customHeight="1">
      <c r="A38" s="31" t="s">
        <v>42</v>
      </c>
      <c r="B38" s="9">
        <f t="shared" ref="B38:G38" si="6">B17+B37</f>
        <v>0</v>
      </c>
      <c r="C38" s="9">
        <f t="shared" si="6"/>
        <v>0</v>
      </c>
      <c r="D38" s="9">
        <f t="shared" si="6"/>
        <v>0</v>
      </c>
      <c r="E38" s="9">
        <f t="shared" si="6"/>
        <v>0</v>
      </c>
      <c r="F38" s="9">
        <f t="shared" si="6"/>
        <v>0</v>
      </c>
      <c r="G38" s="9">
        <f t="shared" si="6"/>
        <v>0</v>
      </c>
      <c r="K38" s="327" t="s">
        <v>27</v>
      </c>
      <c r="L38" s="328"/>
      <c r="M38" s="328"/>
      <c r="N38" s="328"/>
      <c r="O38" s="328"/>
      <c r="P38" s="328"/>
      <c r="Q38" s="329"/>
    </row>
    <row r="39" spans="1:17" ht="60" customHeight="1"/>
    <row r="40" spans="1:17" ht="60" customHeight="1"/>
  </sheetData>
  <mergeCells count="16">
    <mergeCell ref="K38:Q38"/>
    <mergeCell ref="A2:A4"/>
    <mergeCell ref="B2:C4"/>
    <mergeCell ref="K2:Q23"/>
    <mergeCell ref="B5:C5"/>
    <mergeCell ref="D5:E5"/>
    <mergeCell ref="F5:G5"/>
    <mergeCell ref="A6:A7"/>
    <mergeCell ref="B6:G7"/>
    <mergeCell ref="A8:A9"/>
    <mergeCell ref="B8:G9"/>
    <mergeCell ref="A10:A11"/>
    <mergeCell ref="B10:G11"/>
    <mergeCell ref="A12:A13"/>
    <mergeCell ref="B12:G13"/>
    <mergeCell ref="K24:Q37"/>
  </mergeCells>
  <phoneticPr fontId="3"/>
  <conditionalFormatting sqref="B18:G21 B33:G35 B23:G27 B29:G29">
    <cfRule type="cellIs" dxfId="1" priority="2" operator="equal">
      <formula>""</formula>
    </cfRule>
  </conditionalFormatting>
  <conditionalFormatting sqref="B28:G28">
    <cfRule type="cellIs" dxfId="0" priority="1" operator="equal">
      <formula>""</formula>
    </cfRule>
  </conditionalFormatting>
  <printOptions horizontalCentered="1" verticalCentered="1"/>
  <pageMargins left="0.70866141732283472" right="0.70866141732283472" top="0" bottom="0" header="0" footer="0"/>
  <pageSetup paperSize="8" scale="35" orientation="landscape" r:id="rId1"/>
  <headerFooter>
    <oddHeader>&amp;C&amp;"ＭＳ ゴシック,標準"&amp;36お客様支援シート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777E-1552-4842-B1E3-618AC793122A}">
  <sheetPr codeName="Sheet7">
    <tabColor rgb="FFFF0000"/>
    <pageSetUpPr fitToPage="1"/>
  </sheetPr>
  <dimension ref="B1:S36"/>
  <sheetViews>
    <sheetView workbookViewId="0"/>
  </sheetViews>
  <sheetFormatPr defaultRowHeight="18"/>
  <cols>
    <col min="1" max="1" width="5.19921875" customWidth="1"/>
    <col min="2" max="2" width="17.59765625" style="49" customWidth="1"/>
    <col min="3" max="4" width="11.19921875" style="49" customWidth="1"/>
    <col min="5" max="10" width="11.19921875" customWidth="1"/>
    <col min="11" max="11" width="6.8984375" customWidth="1"/>
    <col min="12" max="12" width="17.59765625" style="49" customWidth="1"/>
    <col min="13" max="18" width="11.19921875" customWidth="1"/>
  </cols>
  <sheetData>
    <row r="1" spans="2:19" ht="29.4" thickBot="1">
      <c r="E1" s="286" t="s">
        <v>95</v>
      </c>
      <c r="F1" s="286"/>
      <c r="G1" s="286"/>
      <c r="H1" s="286"/>
      <c r="I1" s="286"/>
      <c r="J1" s="286"/>
      <c r="K1" s="286"/>
      <c r="L1" s="286"/>
      <c r="M1" s="286"/>
      <c r="N1" s="286"/>
      <c r="O1" s="286"/>
      <c r="P1" s="286"/>
      <c r="Q1" s="50" t="s">
        <v>71</v>
      </c>
      <c r="R1" s="51">
        <v>0.6</v>
      </c>
    </row>
    <row r="2" spans="2:19" s="53" customFormat="1">
      <c r="B2" s="52"/>
      <c r="C2" s="52"/>
      <c r="D2" s="52"/>
      <c r="Q2" s="52"/>
      <c r="R2" s="54"/>
    </row>
    <row r="3" spans="2:19">
      <c r="B3"/>
      <c r="C3"/>
      <c r="D3"/>
      <c r="E3" s="55"/>
      <c r="F3" s="55"/>
      <c r="G3" s="56"/>
      <c r="H3" s="55"/>
      <c r="I3" s="55"/>
      <c r="J3" s="55"/>
      <c r="K3" s="55"/>
      <c r="L3" s="55"/>
      <c r="M3" s="55"/>
      <c r="N3" s="55"/>
      <c r="O3" s="56"/>
      <c r="S3" s="49"/>
    </row>
    <row r="4" spans="2:19" s="59" customFormat="1" ht="22.5" customHeight="1">
      <c r="B4" s="287" t="s">
        <v>72</v>
      </c>
      <c r="C4" s="287"/>
      <c r="D4" s="287"/>
      <c r="E4" s="288"/>
      <c r="F4" s="288"/>
      <c r="G4" s="288"/>
      <c r="H4" s="57"/>
      <c r="I4" s="58"/>
      <c r="J4" s="58"/>
      <c r="K4" s="58"/>
      <c r="L4" s="289" t="s">
        <v>73</v>
      </c>
      <c r="M4" s="289"/>
      <c r="N4" s="289"/>
      <c r="O4" s="289"/>
    </row>
    <row r="5" spans="2:19" s="59" customFormat="1" ht="22.5" customHeight="1">
      <c r="B5" s="60"/>
      <c r="C5" s="61">
        <f ca="1">D5-30</f>
        <v>45998.601330787038</v>
      </c>
      <c r="D5" s="61">
        <f ca="1">E5-30</f>
        <v>46028.601330787038</v>
      </c>
      <c r="E5" s="61">
        <f ca="1">NOW()+30</f>
        <v>46058.601330787038</v>
      </c>
      <c r="F5" s="61">
        <f ca="1">E5+30</f>
        <v>46088.601330787038</v>
      </c>
      <c r="G5" s="61">
        <f ca="1">F5+30</f>
        <v>46118.601330787038</v>
      </c>
      <c r="H5" s="61">
        <f ca="1">G5+30</f>
        <v>46148.601330787038</v>
      </c>
      <c r="I5" s="61">
        <f ca="1">H5+30</f>
        <v>46178.601330787038</v>
      </c>
      <c r="J5" s="84">
        <f ca="1">I5+30</f>
        <v>46208.601330787038</v>
      </c>
      <c r="L5" s="62"/>
      <c r="M5" s="61">
        <f t="shared" ref="M5:R5" ca="1" si="0">E5</f>
        <v>46058.601330787038</v>
      </c>
      <c r="N5" s="61">
        <f t="shared" ca="1" si="0"/>
        <v>46088.601330787038</v>
      </c>
      <c r="O5" s="61">
        <f t="shared" ca="1" si="0"/>
        <v>46118.601330787038</v>
      </c>
      <c r="P5" s="61">
        <f t="shared" ca="1" si="0"/>
        <v>46148.601330787038</v>
      </c>
      <c r="Q5" s="61">
        <f t="shared" ca="1" si="0"/>
        <v>46178.601330787038</v>
      </c>
      <c r="R5" s="84">
        <f t="shared" ca="1" si="0"/>
        <v>46208.601330787038</v>
      </c>
    </row>
    <row r="6" spans="2:19" s="59" customFormat="1" ht="22.5" customHeight="1">
      <c r="B6" s="63" t="s">
        <v>74</v>
      </c>
      <c r="C6" s="136" t="e">
        <f>#REF!</f>
        <v>#REF!</v>
      </c>
      <c r="D6" s="136" t="e">
        <f t="shared" ref="D6:J6" si="1">C28</f>
        <v>#REF!</v>
      </c>
      <c r="E6" s="136" t="e">
        <f t="shared" si="1"/>
        <v>#REF!</v>
      </c>
      <c r="F6" s="136" t="e">
        <f t="shared" si="1"/>
        <v>#REF!</v>
      </c>
      <c r="G6" s="136" t="e">
        <f t="shared" si="1"/>
        <v>#REF!</v>
      </c>
      <c r="H6" s="136" t="e">
        <f t="shared" si="1"/>
        <v>#REF!</v>
      </c>
      <c r="I6" s="136" t="e">
        <f t="shared" si="1"/>
        <v>#REF!</v>
      </c>
      <c r="J6" s="136" t="e">
        <f t="shared" si="1"/>
        <v>#REF!</v>
      </c>
      <c r="K6" s="58"/>
      <c r="L6" s="65" t="str">
        <f>B6</f>
        <v>月初現金残高</v>
      </c>
      <c r="M6" s="136" t="e">
        <f>E6</f>
        <v>#REF!</v>
      </c>
      <c r="N6" s="136" t="e">
        <f>M28</f>
        <v>#REF!</v>
      </c>
      <c r="O6" s="136" t="e">
        <f>N28</f>
        <v>#REF!</v>
      </c>
      <c r="P6" s="113" t="e">
        <f>O28</f>
        <v>#REF!</v>
      </c>
      <c r="Q6" s="113" t="e">
        <f>P28</f>
        <v>#REF!</v>
      </c>
      <c r="R6" s="113" t="e">
        <f>Q28</f>
        <v>#REF!</v>
      </c>
    </row>
    <row r="7" spans="2:19" s="59" customFormat="1" ht="22.5" customHeight="1">
      <c r="B7" s="67"/>
      <c r="C7" s="137"/>
      <c r="D7" s="137"/>
      <c r="E7" s="138"/>
      <c r="F7" s="138"/>
      <c r="G7" s="138"/>
      <c r="H7" s="138"/>
      <c r="I7" s="138"/>
      <c r="J7" s="138"/>
      <c r="K7" s="58"/>
      <c r="L7" s="68"/>
      <c r="M7" s="138"/>
      <c r="N7" s="138"/>
      <c r="O7" s="138"/>
      <c r="P7" s="139"/>
      <c r="Q7" s="139"/>
      <c r="R7" s="139"/>
    </row>
    <row r="8" spans="2:19" s="59" customFormat="1" ht="22.5" customHeight="1">
      <c r="B8" s="62"/>
      <c r="C8" s="140">
        <f ca="1">D8-30</f>
        <v>45998.601330787038</v>
      </c>
      <c r="D8" s="140">
        <f ca="1">E8-30</f>
        <v>46028.601330787038</v>
      </c>
      <c r="E8" s="140">
        <f ca="1">NOW()+30</f>
        <v>46058.601330787038</v>
      </c>
      <c r="F8" s="140">
        <f ca="1">E8+30</f>
        <v>46088.601330787038</v>
      </c>
      <c r="G8" s="140">
        <f ca="1">F8+30</f>
        <v>46118.601330787038</v>
      </c>
      <c r="H8" s="140">
        <f ca="1">G8+30</f>
        <v>46148.601330787038</v>
      </c>
      <c r="I8" s="140">
        <f ca="1">H8+30</f>
        <v>46178.601330787038</v>
      </c>
      <c r="J8" s="141">
        <f ca="1">I8+30</f>
        <v>46208.601330787038</v>
      </c>
      <c r="L8" s="62"/>
      <c r="M8" s="140">
        <f t="shared" ref="M8:R8" ca="1" si="2">E8</f>
        <v>46058.601330787038</v>
      </c>
      <c r="N8" s="140">
        <f t="shared" ca="1" si="2"/>
        <v>46088.601330787038</v>
      </c>
      <c r="O8" s="140">
        <f t="shared" ca="1" si="2"/>
        <v>46118.601330787038</v>
      </c>
      <c r="P8" s="140">
        <f t="shared" ca="1" si="2"/>
        <v>46148.601330787038</v>
      </c>
      <c r="Q8" s="140">
        <f t="shared" ca="1" si="2"/>
        <v>46178.601330787038</v>
      </c>
      <c r="R8" s="141">
        <f t="shared" ca="1" si="2"/>
        <v>46208.601330787038</v>
      </c>
    </row>
    <row r="9" spans="2:19" s="59" customFormat="1" ht="22.5" customHeight="1">
      <c r="B9" s="63" t="s">
        <v>46</v>
      </c>
      <c r="C9" s="108" t="e">
        <f>#REF!</f>
        <v>#REF!</v>
      </c>
      <c r="D9" s="108" t="e">
        <f>#REF!</f>
        <v>#REF!</v>
      </c>
      <c r="E9" s="113" t="e">
        <f>#REF!</f>
        <v>#REF!</v>
      </c>
      <c r="F9" s="113" t="e">
        <f>#REF!</f>
        <v>#REF!</v>
      </c>
      <c r="G9" s="113" t="e">
        <f>#REF!</f>
        <v>#REF!</v>
      </c>
      <c r="H9" s="113" t="e">
        <f>#REF!</f>
        <v>#REF!</v>
      </c>
      <c r="I9" s="113" t="e">
        <f>#REF!</f>
        <v>#REF!</v>
      </c>
      <c r="J9" s="113" t="e">
        <f>#REF!</f>
        <v>#REF!</v>
      </c>
      <c r="L9" s="63" t="str">
        <f>B9</f>
        <v>売上</v>
      </c>
      <c r="M9" s="113" t="e">
        <f t="shared" ref="M9:R9" si="3">E9*$R$1</f>
        <v>#REF!</v>
      </c>
      <c r="N9" s="113" t="e">
        <f>F9*$R$1</f>
        <v>#REF!</v>
      </c>
      <c r="O9" s="113" t="e">
        <f t="shared" si="3"/>
        <v>#REF!</v>
      </c>
      <c r="P9" s="113" t="e">
        <f t="shared" si="3"/>
        <v>#REF!</v>
      </c>
      <c r="Q9" s="113" t="e">
        <f t="shared" si="3"/>
        <v>#REF!</v>
      </c>
      <c r="R9" s="113" t="e">
        <f t="shared" si="3"/>
        <v>#REF!</v>
      </c>
    </row>
    <row r="10" spans="2:19" s="59" customFormat="1" ht="22.5" customHeight="1">
      <c r="B10" s="63" t="s">
        <v>148</v>
      </c>
      <c r="C10" s="108"/>
      <c r="D10" s="108"/>
      <c r="E10" s="113"/>
      <c r="F10" s="113"/>
      <c r="G10" s="113"/>
      <c r="H10" s="113"/>
      <c r="I10" s="113"/>
      <c r="J10" s="113"/>
      <c r="L10" s="63" t="str">
        <f>B10</f>
        <v>その他収入</v>
      </c>
      <c r="M10" s="113">
        <f t="shared" ref="M10:R10" si="4">C10</f>
        <v>0</v>
      </c>
      <c r="N10" s="113">
        <f t="shared" si="4"/>
        <v>0</v>
      </c>
      <c r="O10" s="113">
        <f t="shared" si="4"/>
        <v>0</v>
      </c>
      <c r="P10" s="113">
        <f t="shared" si="4"/>
        <v>0</v>
      </c>
      <c r="Q10" s="113">
        <f t="shared" si="4"/>
        <v>0</v>
      </c>
      <c r="R10" s="113">
        <f t="shared" si="4"/>
        <v>0</v>
      </c>
    </row>
    <row r="11" spans="2:19" s="59" customFormat="1" ht="22.5" customHeight="1">
      <c r="B11" s="70" t="s">
        <v>149</v>
      </c>
      <c r="C11" s="109" t="e">
        <f>C10+#REF!</f>
        <v>#REF!</v>
      </c>
      <c r="D11" s="109" t="e">
        <f>D10+#REF!</f>
        <v>#REF!</v>
      </c>
      <c r="E11" s="111" t="e">
        <f>E10+#REF!+E9*#REF!</f>
        <v>#REF!</v>
      </c>
      <c r="F11" s="111" t="e">
        <f>F10+#REF!+E9*#REF!+F9*#REF!</f>
        <v>#REF!</v>
      </c>
      <c r="G11" s="111" t="e">
        <f>G10+#REF!+E9*#REF!+F9*#REF!+G9*#REF!</f>
        <v>#REF!</v>
      </c>
      <c r="H11" s="111" t="e">
        <f>H10+#REF!+E9*#REF!+F9*#REF!+G9*#REF!+H9*#REF!</f>
        <v>#REF!</v>
      </c>
      <c r="I11" s="111" t="e">
        <f>I10+#REF!+E9*#REF!+F9*#REF!+G9*#REF!+H9*#REF!+I9*#REF!</f>
        <v>#REF!</v>
      </c>
      <c r="J11" s="111" t="e">
        <f>J10+#REF!+E9*#REF!+F9*#REF!+G9*#REF!+H9*#REF!+I9*#REF!+J9*#REF!</f>
        <v>#REF!</v>
      </c>
      <c r="L11" s="70" t="str">
        <f>B11</f>
        <v>経常収入</v>
      </c>
      <c r="M11" s="111" t="e">
        <f>M10+#REF!+$R$1*(E9*#REF!)</f>
        <v>#REF!</v>
      </c>
      <c r="N11" s="111" t="e">
        <f>N10+#REF!+$R$1*(E9*#REF!+F9*#REF!)</f>
        <v>#REF!</v>
      </c>
      <c r="O11" s="111" t="e">
        <f>O10+#REF!+$R$1*(E9*#REF!+F9*#REF!+G9*#REF!)</f>
        <v>#REF!</v>
      </c>
      <c r="P11" s="111" t="e">
        <f>P10+#REF!+$R$1*(E9*#REF!+F9*#REF!+G9*#REF!+H9*#REF!)</f>
        <v>#REF!</v>
      </c>
      <c r="Q11" s="111" t="e">
        <f>Q10+#REF!+$R$1*(E9*#REF!+F9*#REF!+G9*#REF!+H9*#REF!+I9*#REF!)</f>
        <v>#REF!</v>
      </c>
      <c r="R11" s="111" t="e">
        <f>R10+#REF!+$R$1*(E9*#REF!+F9*#REF!+G9*#REF!+H9*#REF!+I9*#REF!+J9*#REF!)</f>
        <v>#REF!</v>
      </c>
    </row>
    <row r="12" spans="2:19" s="59" customFormat="1" ht="22.5" customHeight="1">
      <c r="B12" s="67"/>
      <c r="C12" s="67"/>
      <c r="D12" s="67"/>
      <c r="E12" s="72"/>
      <c r="F12" s="72"/>
      <c r="G12" s="72"/>
      <c r="H12" s="72"/>
      <c r="I12" s="72"/>
      <c r="J12" s="72"/>
      <c r="L12" s="67"/>
      <c r="M12" s="139"/>
      <c r="N12" s="139"/>
      <c r="O12" s="139"/>
      <c r="P12" s="139"/>
      <c r="Q12" s="139"/>
      <c r="R12" s="139"/>
    </row>
    <row r="13" spans="2:19" s="59" customFormat="1" ht="22.5" customHeight="1">
      <c r="B13" s="62"/>
      <c r="C13" s="61">
        <f ca="1">D13-30</f>
        <v>45998.601330787038</v>
      </c>
      <c r="D13" s="61">
        <f ca="1">E13-30</f>
        <v>46028.601330787038</v>
      </c>
      <c r="E13" s="61">
        <f t="shared" ref="E13:J13" ca="1" si="5">E8</f>
        <v>46058.601330787038</v>
      </c>
      <c r="F13" s="61">
        <f t="shared" ca="1" si="5"/>
        <v>46088.601330787038</v>
      </c>
      <c r="G13" s="61">
        <f t="shared" ca="1" si="5"/>
        <v>46118.601330787038</v>
      </c>
      <c r="H13" s="61">
        <f t="shared" ca="1" si="5"/>
        <v>46148.601330787038</v>
      </c>
      <c r="I13" s="61">
        <f t="shared" ca="1" si="5"/>
        <v>46178.601330787038</v>
      </c>
      <c r="J13" s="84">
        <f t="shared" ca="1" si="5"/>
        <v>46208.601330787038</v>
      </c>
      <c r="L13" s="62"/>
      <c r="M13" s="140">
        <f t="shared" ref="M13:R13" ca="1" si="6">E13</f>
        <v>46058.601330787038</v>
      </c>
      <c r="N13" s="140">
        <f t="shared" ca="1" si="6"/>
        <v>46088.601330787038</v>
      </c>
      <c r="O13" s="140">
        <f t="shared" ca="1" si="6"/>
        <v>46118.601330787038</v>
      </c>
      <c r="P13" s="140">
        <f t="shared" ca="1" si="6"/>
        <v>46148.601330787038</v>
      </c>
      <c r="Q13" s="140">
        <f t="shared" ca="1" si="6"/>
        <v>46178.601330787038</v>
      </c>
      <c r="R13" s="141">
        <f t="shared" ca="1" si="6"/>
        <v>46208.601330787038</v>
      </c>
    </row>
    <row r="14" spans="2:19" s="59" customFormat="1" ht="22.5" customHeight="1">
      <c r="B14" s="63" t="s">
        <v>53</v>
      </c>
      <c r="C14" s="108" t="e">
        <f>#REF!</f>
        <v>#REF!</v>
      </c>
      <c r="D14" s="108" t="e">
        <f>#REF!</f>
        <v>#REF!</v>
      </c>
      <c r="E14" s="113" t="e">
        <f>#REF!</f>
        <v>#REF!</v>
      </c>
      <c r="F14" s="113" t="e">
        <f>#REF!</f>
        <v>#REF!</v>
      </c>
      <c r="G14" s="113" t="e">
        <f>#REF!</f>
        <v>#REF!</v>
      </c>
      <c r="H14" s="113" t="e">
        <f>#REF!</f>
        <v>#REF!</v>
      </c>
      <c r="I14" s="113" t="e">
        <f>#REF!</f>
        <v>#REF!</v>
      </c>
      <c r="J14" s="113" t="e">
        <f>#REF!</f>
        <v>#REF!</v>
      </c>
      <c r="L14" s="63" t="str">
        <f>B14</f>
        <v>仕入</v>
      </c>
      <c r="M14" s="113" t="e">
        <f t="shared" ref="M14:R14" si="7">E14*$R$1</f>
        <v>#REF!</v>
      </c>
      <c r="N14" s="113" t="e">
        <f t="shared" si="7"/>
        <v>#REF!</v>
      </c>
      <c r="O14" s="113" t="e">
        <f t="shared" si="7"/>
        <v>#REF!</v>
      </c>
      <c r="P14" s="113" t="e">
        <f t="shared" si="7"/>
        <v>#REF!</v>
      </c>
      <c r="Q14" s="113" t="e">
        <f t="shared" si="7"/>
        <v>#REF!</v>
      </c>
      <c r="R14" s="113" t="e">
        <f t="shared" si="7"/>
        <v>#REF!</v>
      </c>
    </row>
    <row r="15" spans="2:19" s="59" customFormat="1" ht="22.5" customHeight="1">
      <c r="B15" s="70" t="s">
        <v>76</v>
      </c>
      <c r="C15" s="109" t="e">
        <f>#REF!</f>
        <v>#REF!</v>
      </c>
      <c r="D15" s="109" t="e">
        <f>#REF!</f>
        <v>#REF!</v>
      </c>
      <c r="E15" s="111" t="e">
        <f>#REF!+E14*#REF!</f>
        <v>#REF!</v>
      </c>
      <c r="F15" s="111" t="e">
        <f>#REF!+E14*#REF!+F14*#REF!</f>
        <v>#REF!</v>
      </c>
      <c r="G15" s="111" t="e">
        <f>#REF!+E14*#REF!+F14*#REF!+G14*#REF!</f>
        <v>#REF!</v>
      </c>
      <c r="H15" s="111" t="e">
        <f>#REF!+E14*#REF!+F14*#REF!+G14*#REF!+H14*#REF!</f>
        <v>#REF!</v>
      </c>
      <c r="I15" s="111" t="e">
        <f>#REF!+E14*#REF!+F14*#REF!+G14*#REF!+H14*#REF!+I14*#REF!</f>
        <v>#REF!</v>
      </c>
      <c r="J15" s="111" t="e">
        <f>#REF!+E14*#REF!+F14*#REF!+G14*#REF!+H14*#REF!+I14*#REF!+J14*#REF!</f>
        <v>#REF!</v>
      </c>
      <c r="L15" s="70" t="str">
        <f>B15</f>
        <v>仕入支払</v>
      </c>
      <c r="M15" s="111" t="e">
        <f>#REF!+$R$1*(E14*#REF!)</f>
        <v>#REF!</v>
      </c>
      <c r="N15" s="111" t="e">
        <f>#REF!+$R$1*(E14*#REF!+F14*#REF!)</f>
        <v>#REF!</v>
      </c>
      <c r="O15" s="111" t="e">
        <f>#REF!+$R$1*(E14*#REF!+F14*#REF!+G14*#REF!)</f>
        <v>#REF!</v>
      </c>
      <c r="P15" s="111" t="e">
        <f>#REF!+$R$1*(E14*#REF!+F14*#REF!+G14*#REF!+H14*#REF!)</f>
        <v>#REF!</v>
      </c>
      <c r="Q15" s="111" t="e">
        <f>#REF!+$R$1*(E14*#REF!+F14*#REF!+G14*#REF!+H14*#REF!+I14*#REF!)</f>
        <v>#REF!</v>
      </c>
      <c r="R15" s="111" t="e">
        <f>#REF!+$R$1*(E14*#REF!+F14*#REF!+G14*#REF!+H14*#REF!+I14*#REF!+J14*#REF!)</f>
        <v>#REF!</v>
      </c>
    </row>
    <row r="16" spans="2:19" s="59" customFormat="1" ht="22.5" customHeight="1">
      <c r="B16" s="67"/>
      <c r="C16" s="110"/>
      <c r="D16" s="110"/>
      <c r="E16" s="72"/>
      <c r="F16" s="72"/>
      <c r="G16" s="72"/>
      <c r="H16" s="72"/>
      <c r="I16" s="72"/>
      <c r="J16" s="72"/>
      <c r="L16" s="67"/>
      <c r="M16" s="139"/>
      <c r="N16" s="139"/>
      <c r="O16" s="139"/>
      <c r="P16" s="139"/>
      <c r="Q16" s="139"/>
      <c r="R16" s="139"/>
    </row>
    <row r="17" spans="2:18" s="59" customFormat="1" ht="22.5" customHeight="1">
      <c r="B17" s="63" t="s">
        <v>77</v>
      </c>
      <c r="C17" s="108" t="e">
        <f>#REF!</f>
        <v>#REF!</v>
      </c>
      <c r="D17" s="108" t="e">
        <f>#REF!</f>
        <v>#REF!</v>
      </c>
      <c r="E17" s="113" t="e">
        <f>#REF!</f>
        <v>#REF!</v>
      </c>
      <c r="F17" s="113" t="e">
        <f>E17</f>
        <v>#REF!</v>
      </c>
      <c r="G17" s="113" t="e">
        <f>F17</f>
        <v>#REF!</v>
      </c>
      <c r="H17" s="113" t="e">
        <f>G17</f>
        <v>#REF!</v>
      </c>
      <c r="I17" s="113" t="e">
        <f>H17</f>
        <v>#REF!</v>
      </c>
      <c r="J17" s="113" t="e">
        <f>I17</f>
        <v>#REF!</v>
      </c>
      <c r="L17" s="63" t="str">
        <f t="shared" ref="L17:L28" si="8">B17</f>
        <v>人件費</v>
      </c>
      <c r="M17" s="113" t="e">
        <f t="shared" ref="M17:N20" si="9">E17</f>
        <v>#REF!</v>
      </c>
      <c r="N17" s="113" t="e">
        <f t="shared" si="9"/>
        <v>#REF!</v>
      </c>
      <c r="O17" s="113" t="e">
        <f t="shared" ref="O17:R20" si="10">G17</f>
        <v>#REF!</v>
      </c>
      <c r="P17" s="113" t="e">
        <f t="shared" si="10"/>
        <v>#REF!</v>
      </c>
      <c r="Q17" s="113" t="e">
        <f t="shared" si="10"/>
        <v>#REF!</v>
      </c>
      <c r="R17" s="113" t="e">
        <f t="shared" si="10"/>
        <v>#REF!</v>
      </c>
    </row>
    <row r="18" spans="2:18" s="59" customFormat="1" ht="22.5" customHeight="1">
      <c r="B18" s="63" t="s">
        <v>78</v>
      </c>
      <c r="C18" s="108" t="e">
        <f>#REF!</f>
        <v>#REF!</v>
      </c>
      <c r="D18" s="108" t="e">
        <f>#REF!</f>
        <v>#REF!</v>
      </c>
      <c r="E18" s="113" t="e">
        <f>#REF!</f>
        <v>#REF!</v>
      </c>
      <c r="F18" s="113" t="e">
        <f t="shared" ref="F18:J20" si="11">E18</f>
        <v>#REF!</v>
      </c>
      <c r="G18" s="113" t="e">
        <f t="shared" si="11"/>
        <v>#REF!</v>
      </c>
      <c r="H18" s="113" t="e">
        <f t="shared" si="11"/>
        <v>#REF!</v>
      </c>
      <c r="I18" s="113" t="e">
        <f t="shared" si="11"/>
        <v>#REF!</v>
      </c>
      <c r="J18" s="113" t="e">
        <f t="shared" si="11"/>
        <v>#REF!</v>
      </c>
      <c r="L18" s="63" t="str">
        <f t="shared" si="8"/>
        <v>営業経費</v>
      </c>
      <c r="M18" s="113" t="e">
        <f t="shared" si="9"/>
        <v>#REF!</v>
      </c>
      <c r="N18" s="113" t="e">
        <f t="shared" si="9"/>
        <v>#REF!</v>
      </c>
      <c r="O18" s="113" t="e">
        <f t="shared" si="10"/>
        <v>#REF!</v>
      </c>
      <c r="P18" s="113" t="e">
        <f t="shared" si="10"/>
        <v>#REF!</v>
      </c>
      <c r="Q18" s="113" t="e">
        <f t="shared" si="10"/>
        <v>#REF!</v>
      </c>
      <c r="R18" s="113" t="e">
        <f t="shared" si="10"/>
        <v>#REF!</v>
      </c>
    </row>
    <row r="19" spans="2:18" s="59" customFormat="1" ht="22.5" customHeight="1">
      <c r="B19" s="63" t="s">
        <v>80</v>
      </c>
      <c r="C19" s="108" t="e">
        <f>#REF!</f>
        <v>#REF!</v>
      </c>
      <c r="D19" s="108" t="e">
        <f>#REF!</f>
        <v>#REF!</v>
      </c>
      <c r="E19" s="113" t="e">
        <f>#REF!</f>
        <v>#REF!</v>
      </c>
      <c r="F19" s="113" t="e">
        <f t="shared" si="11"/>
        <v>#REF!</v>
      </c>
      <c r="G19" s="113" t="e">
        <f t="shared" si="11"/>
        <v>#REF!</v>
      </c>
      <c r="H19" s="113" t="e">
        <f t="shared" si="11"/>
        <v>#REF!</v>
      </c>
      <c r="I19" s="113" t="e">
        <f t="shared" si="11"/>
        <v>#REF!</v>
      </c>
      <c r="J19" s="113" t="e">
        <f t="shared" si="11"/>
        <v>#REF!</v>
      </c>
      <c r="L19" s="63" t="str">
        <f t="shared" si="8"/>
        <v>税金・社会保険料</v>
      </c>
      <c r="M19" s="113" t="e">
        <f t="shared" si="9"/>
        <v>#REF!</v>
      </c>
      <c r="N19" s="113" t="e">
        <f t="shared" si="9"/>
        <v>#REF!</v>
      </c>
      <c r="O19" s="113" t="e">
        <f t="shared" si="10"/>
        <v>#REF!</v>
      </c>
      <c r="P19" s="113" t="e">
        <f t="shared" si="10"/>
        <v>#REF!</v>
      </c>
      <c r="Q19" s="113" t="e">
        <f t="shared" si="10"/>
        <v>#REF!</v>
      </c>
      <c r="R19" s="113" t="e">
        <f t="shared" si="10"/>
        <v>#REF!</v>
      </c>
    </row>
    <row r="20" spans="2:18" s="59" customFormat="1" ht="22.5" customHeight="1">
      <c r="B20" s="63" t="s">
        <v>150</v>
      </c>
      <c r="C20" s="108" t="e">
        <f>#REF!</f>
        <v>#REF!</v>
      </c>
      <c r="D20" s="108" t="e">
        <f>#REF!</f>
        <v>#REF!</v>
      </c>
      <c r="E20" s="113" t="e">
        <f>#REF!</f>
        <v>#REF!</v>
      </c>
      <c r="F20" s="113" t="e">
        <f t="shared" si="11"/>
        <v>#REF!</v>
      </c>
      <c r="G20" s="113" t="e">
        <f t="shared" si="11"/>
        <v>#REF!</v>
      </c>
      <c r="H20" s="113" t="e">
        <f t="shared" si="11"/>
        <v>#REF!</v>
      </c>
      <c r="I20" s="113" t="e">
        <f t="shared" si="11"/>
        <v>#REF!</v>
      </c>
      <c r="J20" s="113" t="e">
        <f t="shared" si="11"/>
        <v>#REF!</v>
      </c>
      <c r="L20" s="63" t="str">
        <f t="shared" si="8"/>
        <v>リース・利息・その他</v>
      </c>
      <c r="M20" s="113" t="e">
        <f t="shared" si="9"/>
        <v>#REF!</v>
      </c>
      <c r="N20" s="113" t="e">
        <f t="shared" si="9"/>
        <v>#REF!</v>
      </c>
      <c r="O20" s="113" t="e">
        <f t="shared" si="10"/>
        <v>#REF!</v>
      </c>
      <c r="P20" s="113" t="e">
        <f t="shared" si="10"/>
        <v>#REF!</v>
      </c>
      <c r="Q20" s="113" t="e">
        <f t="shared" si="10"/>
        <v>#REF!</v>
      </c>
      <c r="R20" s="113" t="e">
        <f t="shared" si="10"/>
        <v>#REF!</v>
      </c>
    </row>
    <row r="21" spans="2:18" s="59" customFormat="1" ht="22.5" customHeight="1">
      <c r="B21" s="70" t="s">
        <v>123</v>
      </c>
      <c r="C21" s="134" t="e">
        <f t="shared" ref="C21:J21" si="12">C15+SUM(C17:C20)</f>
        <v>#REF!</v>
      </c>
      <c r="D21" s="134" t="e">
        <f t="shared" si="12"/>
        <v>#REF!</v>
      </c>
      <c r="E21" s="111" t="e">
        <f t="shared" si="12"/>
        <v>#REF!</v>
      </c>
      <c r="F21" s="111" t="e">
        <f t="shared" si="12"/>
        <v>#REF!</v>
      </c>
      <c r="G21" s="111" t="e">
        <f t="shared" si="12"/>
        <v>#REF!</v>
      </c>
      <c r="H21" s="111" t="e">
        <f t="shared" si="12"/>
        <v>#REF!</v>
      </c>
      <c r="I21" s="111" t="e">
        <f t="shared" si="12"/>
        <v>#REF!</v>
      </c>
      <c r="J21" s="111" t="e">
        <f t="shared" si="12"/>
        <v>#REF!</v>
      </c>
      <c r="L21" s="70" t="str">
        <f t="shared" si="8"/>
        <v>経常支出</v>
      </c>
      <c r="M21" s="111" t="e">
        <f t="shared" ref="M21:R21" si="13">M15+SUM(M17:M20)</f>
        <v>#REF!</v>
      </c>
      <c r="N21" s="111" t="e">
        <f t="shared" si="13"/>
        <v>#REF!</v>
      </c>
      <c r="O21" s="111" t="e">
        <f t="shared" si="13"/>
        <v>#REF!</v>
      </c>
      <c r="P21" s="111" t="e">
        <f t="shared" si="13"/>
        <v>#REF!</v>
      </c>
      <c r="Q21" s="111" t="e">
        <f t="shared" si="13"/>
        <v>#REF!</v>
      </c>
      <c r="R21" s="111" t="e">
        <f t="shared" si="13"/>
        <v>#REF!</v>
      </c>
    </row>
    <row r="22" spans="2:18" s="59" customFormat="1" ht="22.5" customHeight="1">
      <c r="B22" s="70" t="s">
        <v>122</v>
      </c>
      <c r="C22" s="111" t="e">
        <f t="shared" ref="C22:J22" si="14">C11-C21</f>
        <v>#REF!</v>
      </c>
      <c r="D22" s="111" t="e">
        <f t="shared" si="14"/>
        <v>#REF!</v>
      </c>
      <c r="E22" s="111" t="e">
        <f t="shared" si="14"/>
        <v>#REF!</v>
      </c>
      <c r="F22" s="111" t="e">
        <f t="shared" si="14"/>
        <v>#REF!</v>
      </c>
      <c r="G22" s="111" t="e">
        <f t="shared" si="14"/>
        <v>#REF!</v>
      </c>
      <c r="H22" s="111" t="e">
        <f t="shared" si="14"/>
        <v>#REF!</v>
      </c>
      <c r="I22" s="111" t="e">
        <f t="shared" si="14"/>
        <v>#REF!</v>
      </c>
      <c r="J22" s="111" t="e">
        <f t="shared" si="14"/>
        <v>#REF!</v>
      </c>
      <c r="L22" s="70" t="str">
        <f t="shared" si="8"/>
        <v>経常収支</v>
      </c>
      <c r="M22" s="111" t="e">
        <f t="shared" ref="M22:R22" si="15">M11-M21</f>
        <v>#REF!</v>
      </c>
      <c r="N22" s="111" t="e">
        <f t="shared" si="15"/>
        <v>#REF!</v>
      </c>
      <c r="O22" s="111" t="e">
        <f t="shared" si="15"/>
        <v>#REF!</v>
      </c>
      <c r="P22" s="111" t="e">
        <f t="shared" si="15"/>
        <v>#REF!</v>
      </c>
      <c r="Q22" s="111" t="e">
        <f t="shared" si="15"/>
        <v>#REF!</v>
      </c>
      <c r="R22" s="111" t="e">
        <f t="shared" si="15"/>
        <v>#REF!</v>
      </c>
    </row>
    <row r="23" spans="2:18" s="59" customFormat="1" ht="22.5" customHeight="1">
      <c r="B23" s="63" t="s">
        <v>94</v>
      </c>
      <c r="C23" s="108"/>
      <c r="D23" s="108"/>
      <c r="E23" s="113"/>
      <c r="F23" s="113"/>
      <c r="G23" s="113"/>
      <c r="H23" s="113"/>
      <c r="I23" s="113"/>
      <c r="J23" s="113"/>
      <c r="L23" s="63" t="str">
        <f t="shared" si="8"/>
        <v>借入金調達</v>
      </c>
      <c r="M23" s="113">
        <f>E23</f>
        <v>0</v>
      </c>
      <c r="N23" s="113">
        <f t="shared" ref="N23:R24" si="16">F23</f>
        <v>0</v>
      </c>
      <c r="O23" s="113">
        <f t="shared" si="16"/>
        <v>0</v>
      </c>
      <c r="P23" s="113">
        <f t="shared" si="16"/>
        <v>0</v>
      </c>
      <c r="Q23" s="113">
        <f t="shared" si="16"/>
        <v>0</v>
      </c>
      <c r="R23" s="113">
        <f t="shared" si="16"/>
        <v>0</v>
      </c>
    </row>
    <row r="24" spans="2:18" s="59" customFormat="1" ht="22.5" customHeight="1">
      <c r="B24" s="63" t="s">
        <v>79</v>
      </c>
      <c r="C24" s="108" t="e">
        <f>#REF!</f>
        <v>#REF!</v>
      </c>
      <c r="D24" s="108" t="e">
        <f t="shared" ref="D24:J24" si="17">C24</f>
        <v>#REF!</v>
      </c>
      <c r="E24" s="108" t="e">
        <f t="shared" si="17"/>
        <v>#REF!</v>
      </c>
      <c r="F24" s="108" t="e">
        <f t="shared" si="17"/>
        <v>#REF!</v>
      </c>
      <c r="G24" s="108" t="e">
        <f t="shared" si="17"/>
        <v>#REF!</v>
      </c>
      <c r="H24" s="108" t="e">
        <f t="shared" si="17"/>
        <v>#REF!</v>
      </c>
      <c r="I24" s="108" t="e">
        <f t="shared" si="17"/>
        <v>#REF!</v>
      </c>
      <c r="J24" s="108" t="e">
        <f t="shared" si="17"/>
        <v>#REF!</v>
      </c>
      <c r="L24" s="63" t="str">
        <f t="shared" si="8"/>
        <v>借入金返済</v>
      </c>
      <c r="M24" s="113" t="e">
        <f>E24</f>
        <v>#REF!</v>
      </c>
      <c r="N24" s="113" t="e">
        <f t="shared" si="16"/>
        <v>#REF!</v>
      </c>
      <c r="O24" s="113" t="e">
        <f t="shared" si="16"/>
        <v>#REF!</v>
      </c>
      <c r="P24" s="113" t="e">
        <f t="shared" si="16"/>
        <v>#REF!</v>
      </c>
      <c r="Q24" s="113" t="e">
        <f t="shared" si="16"/>
        <v>#REF!</v>
      </c>
      <c r="R24" s="113" t="e">
        <f t="shared" si="16"/>
        <v>#REF!</v>
      </c>
    </row>
    <row r="25" spans="2:18" s="59" customFormat="1" ht="22.5" customHeight="1">
      <c r="B25" s="63" t="s">
        <v>146</v>
      </c>
      <c r="C25" s="108"/>
      <c r="D25" s="108"/>
      <c r="E25" s="113"/>
      <c r="F25" s="113"/>
      <c r="G25" s="113"/>
      <c r="H25" s="113"/>
      <c r="I25" s="113"/>
      <c r="J25" s="113"/>
      <c r="L25" s="63" t="str">
        <f t="shared" si="8"/>
        <v>設備投資</v>
      </c>
      <c r="M25" s="113"/>
      <c r="N25" s="113"/>
      <c r="O25" s="113"/>
      <c r="P25" s="113"/>
      <c r="Q25" s="113"/>
      <c r="R25" s="113"/>
    </row>
    <row r="26" spans="2:18" s="59" customFormat="1" ht="22.5" customHeight="1">
      <c r="B26" s="70" t="s">
        <v>151</v>
      </c>
      <c r="C26" s="112" t="e">
        <f>C23-C24+C25</f>
        <v>#REF!</v>
      </c>
      <c r="D26" s="112" t="e">
        <f t="shared" ref="D26:J26" si="18">D23-D24+D25</f>
        <v>#REF!</v>
      </c>
      <c r="E26" s="112" t="e">
        <f t="shared" si="18"/>
        <v>#REF!</v>
      </c>
      <c r="F26" s="112" t="e">
        <f t="shared" si="18"/>
        <v>#REF!</v>
      </c>
      <c r="G26" s="112" t="e">
        <f t="shared" si="18"/>
        <v>#REF!</v>
      </c>
      <c r="H26" s="112" t="e">
        <f t="shared" si="18"/>
        <v>#REF!</v>
      </c>
      <c r="I26" s="112" t="e">
        <f t="shared" si="18"/>
        <v>#REF!</v>
      </c>
      <c r="J26" s="112" t="e">
        <f t="shared" si="18"/>
        <v>#REF!</v>
      </c>
      <c r="L26" s="70" t="str">
        <f t="shared" si="8"/>
        <v>財務収支他</v>
      </c>
      <c r="M26" s="112" t="e">
        <f t="shared" ref="M26:R26" si="19">M23-M24+M25</f>
        <v>#REF!</v>
      </c>
      <c r="N26" s="112" t="e">
        <f t="shared" si="19"/>
        <v>#REF!</v>
      </c>
      <c r="O26" s="112" t="e">
        <f t="shared" si="19"/>
        <v>#REF!</v>
      </c>
      <c r="P26" s="112" t="e">
        <f t="shared" si="19"/>
        <v>#REF!</v>
      </c>
      <c r="Q26" s="112" t="e">
        <f t="shared" si="19"/>
        <v>#REF!</v>
      </c>
      <c r="R26" s="112" t="e">
        <f t="shared" si="19"/>
        <v>#REF!</v>
      </c>
    </row>
    <row r="27" spans="2:18" s="59" customFormat="1" ht="22.5" customHeight="1">
      <c r="B27" s="70" t="s">
        <v>83</v>
      </c>
      <c r="C27" s="112" t="e">
        <f t="shared" ref="C27:J27" si="20">C22+C26</f>
        <v>#REF!</v>
      </c>
      <c r="D27" s="112" t="e">
        <f t="shared" si="20"/>
        <v>#REF!</v>
      </c>
      <c r="E27" s="112" t="e">
        <f t="shared" si="20"/>
        <v>#REF!</v>
      </c>
      <c r="F27" s="112" t="e">
        <f t="shared" si="20"/>
        <v>#REF!</v>
      </c>
      <c r="G27" s="112" t="e">
        <f t="shared" si="20"/>
        <v>#REF!</v>
      </c>
      <c r="H27" s="112" t="e">
        <f t="shared" si="20"/>
        <v>#REF!</v>
      </c>
      <c r="I27" s="112" t="e">
        <f t="shared" si="20"/>
        <v>#REF!</v>
      </c>
      <c r="J27" s="112" t="e">
        <f t="shared" si="20"/>
        <v>#REF!</v>
      </c>
      <c r="L27" s="70" t="str">
        <f t="shared" si="8"/>
        <v>当月収支</v>
      </c>
      <c r="M27" s="112" t="e">
        <f t="shared" ref="M27:R27" si="21">M22+M26</f>
        <v>#REF!</v>
      </c>
      <c r="N27" s="112" t="e">
        <f t="shared" si="21"/>
        <v>#REF!</v>
      </c>
      <c r="O27" s="112" t="e">
        <f t="shared" si="21"/>
        <v>#REF!</v>
      </c>
      <c r="P27" s="112" t="e">
        <f t="shared" si="21"/>
        <v>#REF!</v>
      </c>
      <c r="Q27" s="112" t="e">
        <f t="shared" si="21"/>
        <v>#REF!</v>
      </c>
      <c r="R27" s="112" t="e">
        <f t="shared" si="21"/>
        <v>#REF!</v>
      </c>
    </row>
    <row r="28" spans="2:18" s="59" customFormat="1" ht="22.5" customHeight="1">
      <c r="B28" s="77" t="s">
        <v>84</v>
      </c>
      <c r="C28" s="135" t="e">
        <f t="shared" ref="C28:J28" si="22">C6+C27</f>
        <v>#REF!</v>
      </c>
      <c r="D28" s="135" t="e">
        <f t="shared" si="22"/>
        <v>#REF!</v>
      </c>
      <c r="E28" s="135" t="e">
        <f t="shared" si="22"/>
        <v>#REF!</v>
      </c>
      <c r="F28" s="135" t="e">
        <f t="shared" si="22"/>
        <v>#REF!</v>
      </c>
      <c r="G28" s="135" t="e">
        <f t="shared" si="22"/>
        <v>#REF!</v>
      </c>
      <c r="H28" s="135" t="e">
        <f t="shared" si="22"/>
        <v>#REF!</v>
      </c>
      <c r="I28" s="135" t="e">
        <f t="shared" si="22"/>
        <v>#REF!</v>
      </c>
      <c r="J28" s="135" t="e">
        <f t="shared" si="22"/>
        <v>#REF!</v>
      </c>
      <c r="L28" s="77" t="str">
        <f t="shared" si="8"/>
        <v>月末現金残高</v>
      </c>
      <c r="M28" s="135" t="e">
        <f t="shared" ref="M28:R28" si="23">M6+M27</f>
        <v>#REF!</v>
      </c>
      <c r="N28" s="135" t="e">
        <f t="shared" si="23"/>
        <v>#REF!</v>
      </c>
      <c r="O28" s="135" t="e">
        <f t="shared" si="23"/>
        <v>#REF!</v>
      </c>
      <c r="P28" s="135" t="e">
        <f t="shared" si="23"/>
        <v>#REF!</v>
      </c>
      <c r="Q28" s="135" t="e">
        <f t="shared" si="23"/>
        <v>#REF!</v>
      </c>
      <c r="R28" s="135" t="e">
        <f t="shared" si="23"/>
        <v>#REF!</v>
      </c>
    </row>
    <row r="33" spans="2:13">
      <c r="B33" s="96"/>
      <c r="C33" s="96"/>
      <c r="D33" s="96"/>
      <c r="E33" s="97"/>
      <c r="F33" s="97"/>
      <c r="G33" s="97"/>
      <c r="H33" s="97"/>
      <c r="I33" s="290"/>
      <c r="J33" s="290"/>
      <c r="K33" s="98"/>
      <c r="L33" s="98"/>
      <c r="M33" s="98"/>
    </row>
    <row r="34" spans="2:13">
      <c r="B34" s="97"/>
      <c r="C34" s="97"/>
      <c r="D34" s="97"/>
      <c r="E34" s="291"/>
      <c r="F34" s="291"/>
      <c r="G34" s="99"/>
      <c r="H34" s="100"/>
      <c r="I34" s="101"/>
      <c r="J34" s="101"/>
      <c r="K34" s="115"/>
      <c r="L34" s="115"/>
      <c r="M34" s="99"/>
    </row>
    <row r="35" spans="2:13">
      <c r="B35" s="97"/>
      <c r="C35" s="97"/>
      <c r="D35" s="97"/>
      <c r="E35" s="100"/>
      <c r="F35" s="100"/>
      <c r="G35" s="99"/>
      <c r="H35" s="100"/>
      <c r="I35" s="101"/>
      <c r="J35" s="101"/>
      <c r="K35" s="100"/>
      <c r="L35" s="100"/>
      <c r="M35" s="99"/>
    </row>
    <row r="36" spans="2:13">
      <c r="B36" s="97"/>
      <c r="C36" s="97"/>
      <c r="D36" s="97"/>
      <c r="E36" s="100"/>
      <c r="F36" s="100"/>
      <c r="G36" s="99"/>
      <c r="H36" s="100"/>
      <c r="I36" s="285"/>
      <c r="J36" s="285"/>
      <c r="K36" s="100"/>
      <c r="L36" s="100"/>
      <c r="M36" s="99"/>
    </row>
  </sheetData>
  <mergeCells count="6">
    <mergeCell ref="I36:J36"/>
    <mergeCell ref="E1:P1"/>
    <mergeCell ref="B4:G4"/>
    <mergeCell ref="L4:O4"/>
    <mergeCell ref="I33:J33"/>
    <mergeCell ref="E34:F34"/>
  </mergeCells>
  <phoneticPr fontId="3"/>
  <pageMargins left="0.7" right="0.7" top="0.75" bottom="0.75" header="0.3" footer="0.3"/>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04AE-4848-4ACD-A34C-0427667B73F0}">
  <sheetPr codeName="Sheet8">
    <tabColor rgb="FFFF0000"/>
    <pageSetUpPr fitToPage="1"/>
  </sheetPr>
  <dimension ref="B1:S38"/>
  <sheetViews>
    <sheetView workbookViewId="0"/>
  </sheetViews>
  <sheetFormatPr defaultRowHeight="18"/>
  <cols>
    <col min="1" max="1" width="6" customWidth="1"/>
    <col min="2" max="2" width="44.8984375" customWidth="1"/>
    <col min="3" max="3" width="95.19921875" bestFit="1" customWidth="1"/>
    <col min="4" max="4" width="6.3984375" customWidth="1"/>
    <col min="6" max="6" width="5.19921875" bestFit="1" customWidth="1"/>
    <col min="7" max="7" width="5.19921875" customWidth="1"/>
    <col min="8" max="8" width="7.09765625" customWidth="1"/>
    <col min="10" max="10" width="5.19921875" bestFit="1" customWidth="1"/>
    <col min="11" max="11" width="5.19921875" customWidth="1"/>
    <col min="12" max="12" width="6.09765625" customWidth="1"/>
    <col min="13" max="13" width="9.69921875" customWidth="1"/>
    <col min="15" max="15" width="5.19921875" bestFit="1" customWidth="1"/>
    <col min="16" max="16" width="5.19921875" customWidth="1"/>
  </cols>
  <sheetData>
    <row r="1" spans="2:19">
      <c r="B1" s="126" t="s">
        <v>163</v>
      </c>
    </row>
    <row r="2" spans="2:19">
      <c r="B2" s="44" t="s">
        <v>124</v>
      </c>
      <c r="C2" t="s">
        <v>126</v>
      </c>
      <c r="D2" s="79" t="s">
        <v>46</v>
      </c>
      <c r="E2" s="45">
        <v>3120</v>
      </c>
      <c r="F2" s="46" t="s">
        <v>45</v>
      </c>
      <c r="G2" s="46"/>
      <c r="H2" s="105" t="s">
        <v>75</v>
      </c>
      <c r="I2" s="45">
        <v>2744</v>
      </c>
      <c r="J2" t="s">
        <v>45</v>
      </c>
      <c r="M2" s="79" t="s">
        <v>53</v>
      </c>
      <c r="N2" s="103">
        <v>1642</v>
      </c>
      <c r="O2" s="46" t="s">
        <v>45</v>
      </c>
      <c r="P2" s="46"/>
      <c r="Q2" s="105" t="s">
        <v>125</v>
      </c>
      <c r="R2" s="103">
        <v>1511</v>
      </c>
      <c r="S2" t="s">
        <v>45</v>
      </c>
    </row>
    <row r="3" spans="2:19">
      <c r="C3" t="s">
        <v>127</v>
      </c>
      <c r="D3" s="79" t="s">
        <v>46</v>
      </c>
      <c r="E3" s="45">
        <v>1985</v>
      </c>
      <c r="F3" s="46" t="s">
        <v>45</v>
      </c>
      <c r="G3" s="46"/>
      <c r="H3" s="105" t="s">
        <v>75</v>
      </c>
      <c r="I3" s="45">
        <v>2350</v>
      </c>
      <c r="J3" t="s">
        <v>45</v>
      </c>
      <c r="M3" s="79" t="s">
        <v>53</v>
      </c>
      <c r="N3" s="103">
        <v>1197</v>
      </c>
      <c r="O3" s="46" t="s">
        <v>45</v>
      </c>
      <c r="P3" s="46"/>
      <c r="Q3" s="105" t="s">
        <v>125</v>
      </c>
      <c r="R3" s="103">
        <v>1011</v>
      </c>
      <c r="S3" t="s">
        <v>45</v>
      </c>
    </row>
    <row r="4" spans="2:19" ht="18.75" customHeight="1">
      <c r="B4" s="44" t="s">
        <v>51</v>
      </c>
      <c r="C4" t="s">
        <v>52</v>
      </c>
      <c r="D4" s="79" t="s">
        <v>46</v>
      </c>
      <c r="E4" s="45">
        <v>2000</v>
      </c>
      <c r="F4" s="46" t="s">
        <v>45</v>
      </c>
      <c r="G4" s="46"/>
      <c r="H4" s="105" t="s">
        <v>53</v>
      </c>
      <c r="I4" s="45">
        <v>1500</v>
      </c>
      <c r="J4" t="s">
        <v>45</v>
      </c>
      <c r="L4" s="114" t="s">
        <v>142</v>
      </c>
      <c r="M4" s="106" t="s">
        <v>130</v>
      </c>
      <c r="N4" s="103">
        <v>600</v>
      </c>
      <c r="O4" s="46" t="s">
        <v>45</v>
      </c>
      <c r="P4" s="46"/>
      <c r="Q4" s="106" t="s">
        <v>136</v>
      </c>
      <c r="R4" s="103">
        <v>300</v>
      </c>
      <c r="S4" t="s">
        <v>45</v>
      </c>
    </row>
    <row r="5" spans="2:19" ht="18.75" customHeight="1">
      <c r="C5" t="s">
        <v>54</v>
      </c>
      <c r="D5" s="79" t="s">
        <v>46</v>
      </c>
      <c r="E5" s="45">
        <v>2500</v>
      </c>
      <c r="F5" s="46" t="s">
        <v>45</v>
      </c>
      <c r="G5" s="46"/>
      <c r="H5" s="105" t="s">
        <v>53</v>
      </c>
      <c r="I5" s="45">
        <v>1200</v>
      </c>
      <c r="J5" t="s">
        <v>45</v>
      </c>
      <c r="L5" s="292" t="s">
        <v>143</v>
      </c>
      <c r="M5" s="106" t="s">
        <v>131</v>
      </c>
      <c r="N5" s="103">
        <v>300</v>
      </c>
      <c r="O5" s="46" t="s">
        <v>45</v>
      </c>
      <c r="P5" s="46"/>
      <c r="Q5" s="106" t="s">
        <v>137</v>
      </c>
      <c r="R5" s="103">
        <v>100</v>
      </c>
      <c r="S5" t="s">
        <v>45</v>
      </c>
    </row>
    <row r="6" spans="2:19" ht="18.75" customHeight="1">
      <c r="C6" t="s">
        <v>55</v>
      </c>
      <c r="D6" s="79" t="s">
        <v>46</v>
      </c>
      <c r="E6" s="45">
        <v>2000</v>
      </c>
      <c r="F6" s="46" t="s">
        <v>45</v>
      </c>
      <c r="G6" s="46"/>
      <c r="H6" s="105" t="s">
        <v>53</v>
      </c>
      <c r="I6" s="45">
        <v>1000</v>
      </c>
      <c r="J6" t="s">
        <v>45</v>
      </c>
      <c r="L6" s="292"/>
      <c r="M6" s="106" t="s">
        <v>132</v>
      </c>
      <c r="N6" s="103"/>
      <c r="O6" s="46" t="s">
        <v>45</v>
      </c>
      <c r="P6" s="46"/>
      <c r="Q6" s="106" t="s">
        <v>138</v>
      </c>
      <c r="R6" s="103"/>
      <c r="S6" t="s">
        <v>45</v>
      </c>
    </row>
    <row r="7" spans="2:19">
      <c r="C7" t="s">
        <v>56</v>
      </c>
      <c r="D7" s="79" t="s">
        <v>46</v>
      </c>
      <c r="E7" s="45">
        <v>3000</v>
      </c>
      <c r="F7" s="46" t="s">
        <v>45</v>
      </c>
      <c r="G7" s="46"/>
      <c r="H7" s="105" t="s">
        <v>53</v>
      </c>
      <c r="I7" s="45">
        <v>1500</v>
      </c>
      <c r="J7" t="s">
        <v>45</v>
      </c>
      <c r="L7" s="292"/>
      <c r="M7" s="106" t="s">
        <v>133</v>
      </c>
      <c r="N7" s="103"/>
      <c r="O7" s="46" t="s">
        <v>45</v>
      </c>
      <c r="P7" s="46"/>
      <c r="Q7" s="106" t="s">
        <v>139</v>
      </c>
      <c r="R7" s="103"/>
      <c r="S7" t="s">
        <v>45</v>
      </c>
    </row>
    <row r="8" spans="2:19">
      <c r="C8" t="s">
        <v>57</v>
      </c>
      <c r="D8" s="79" t="s">
        <v>46</v>
      </c>
      <c r="E8" s="45">
        <v>3000</v>
      </c>
      <c r="F8" s="46" t="s">
        <v>45</v>
      </c>
      <c r="G8" s="46"/>
      <c r="H8" s="105" t="s">
        <v>53</v>
      </c>
      <c r="I8" s="45">
        <v>1500</v>
      </c>
      <c r="J8" t="s">
        <v>45</v>
      </c>
      <c r="L8" s="292"/>
      <c r="M8" s="106" t="s">
        <v>134</v>
      </c>
      <c r="N8" s="103"/>
      <c r="O8" s="46" t="s">
        <v>45</v>
      </c>
      <c r="P8" s="46"/>
      <c r="Q8" s="106" t="s">
        <v>140</v>
      </c>
      <c r="R8" s="103"/>
      <c r="S8" t="s">
        <v>45</v>
      </c>
    </row>
    <row r="9" spans="2:19">
      <c r="C9" t="s">
        <v>58</v>
      </c>
      <c r="D9" s="79" t="s">
        <v>46</v>
      </c>
      <c r="E9" s="45">
        <v>2000</v>
      </c>
      <c r="F9" s="46" t="s">
        <v>45</v>
      </c>
      <c r="G9" s="46"/>
      <c r="H9" s="105" t="s">
        <v>53</v>
      </c>
      <c r="I9" s="45">
        <v>1000</v>
      </c>
      <c r="J9" t="s">
        <v>45</v>
      </c>
      <c r="L9" s="293"/>
      <c r="M9" s="106" t="s">
        <v>135</v>
      </c>
      <c r="N9" s="103"/>
      <c r="O9" s="46" t="s">
        <v>45</v>
      </c>
      <c r="P9" s="46"/>
      <c r="Q9" s="106" t="s">
        <v>141</v>
      </c>
      <c r="R9" s="103"/>
      <c r="S9" t="s">
        <v>45</v>
      </c>
    </row>
    <row r="10" spans="2:19">
      <c r="D10" s="125"/>
      <c r="E10" s="129"/>
      <c r="F10" s="123"/>
      <c r="G10" s="123"/>
      <c r="H10" s="129"/>
      <c r="I10" s="129"/>
      <c r="J10" s="118"/>
      <c r="K10" s="118"/>
      <c r="L10" s="121"/>
      <c r="M10" s="130"/>
      <c r="N10" s="129"/>
      <c r="O10" s="123"/>
      <c r="P10" s="123"/>
      <c r="Q10" s="122"/>
      <c r="R10" s="123"/>
    </row>
    <row r="11" spans="2:19">
      <c r="B11" s="126" t="s">
        <v>165</v>
      </c>
      <c r="D11" s="118"/>
      <c r="E11" s="127"/>
      <c r="F11" s="119"/>
      <c r="G11" s="119"/>
      <c r="H11" s="127"/>
      <c r="I11" s="127"/>
      <c r="J11" s="120"/>
      <c r="K11" s="120"/>
      <c r="L11" s="121"/>
      <c r="M11" s="128"/>
      <c r="N11" s="127"/>
      <c r="O11" s="119"/>
      <c r="P11" s="119"/>
      <c r="Q11" s="122"/>
      <c r="R11" s="123"/>
    </row>
    <row r="12" spans="2:19" ht="18.75" customHeight="1">
      <c r="B12" t="s">
        <v>59</v>
      </c>
      <c r="C12" t="s">
        <v>60</v>
      </c>
      <c r="E12" s="45">
        <v>250</v>
      </c>
      <c r="F12" t="s">
        <v>45</v>
      </c>
      <c r="H12" s="294" t="s">
        <v>128</v>
      </c>
      <c r="I12" s="104">
        <v>250</v>
      </c>
      <c r="J12" t="s">
        <v>45</v>
      </c>
      <c r="M12" s="294" t="s">
        <v>129</v>
      </c>
      <c r="N12" s="45">
        <v>250</v>
      </c>
      <c r="O12" t="s">
        <v>45</v>
      </c>
    </row>
    <row r="13" spans="2:19">
      <c r="C13" t="s">
        <v>169</v>
      </c>
      <c r="E13" s="45">
        <v>700</v>
      </c>
      <c r="F13" t="s">
        <v>45</v>
      </c>
      <c r="H13" s="295"/>
      <c r="I13" s="45">
        <v>700</v>
      </c>
      <c r="J13" t="s">
        <v>45</v>
      </c>
      <c r="M13" s="295"/>
      <c r="N13" s="45">
        <v>700</v>
      </c>
      <c r="O13" t="s">
        <v>45</v>
      </c>
    </row>
    <row r="14" spans="2:19">
      <c r="C14" t="s">
        <v>102</v>
      </c>
      <c r="E14" s="45">
        <v>50</v>
      </c>
      <c r="F14" t="s">
        <v>45</v>
      </c>
      <c r="H14" s="295"/>
      <c r="I14" s="45">
        <v>50</v>
      </c>
      <c r="J14" t="s">
        <v>45</v>
      </c>
      <c r="M14" s="295"/>
      <c r="N14" s="45">
        <v>50</v>
      </c>
      <c r="O14" t="s">
        <v>45</v>
      </c>
    </row>
    <row r="15" spans="2:19">
      <c r="C15" t="s">
        <v>159</v>
      </c>
      <c r="E15" s="45">
        <v>175</v>
      </c>
      <c r="F15" t="s">
        <v>45</v>
      </c>
      <c r="H15" s="295"/>
      <c r="I15" s="45">
        <v>175</v>
      </c>
      <c r="J15" t="s">
        <v>45</v>
      </c>
      <c r="M15" s="295"/>
      <c r="N15" s="45">
        <v>175</v>
      </c>
      <c r="O15" t="s">
        <v>45</v>
      </c>
    </row>
    <row r="16" spans="2:19">
      <c r="B16" s="126" t="s">
        <v>164</v>
      </c>
      <c r="E16" s="124"/>
      <c r="H16" s="295"/>
      <c r="I16" s="102"/>
      <c r="M16" s="295"/>
      <c r="N16" s="102"/>
    </row>
    <row r="17" spans="2:15">
      <c r="B17" t="s">
        <v>168</v>
      </c>
      <c r="C17" t="s">
        <v>63</v>
      </c>
      <c r="E17" s="45">
        <v>250</v>
      </c>
      <c r="F17" t="s">
        <v>45</v>
      </c>
      <c r="H17" s="295"/>
      <c r="I17" s="45">
        <v>250</v>
      </c>
      <c r="J17" t="s">
        <v>45</v>
      </c>
      <c r="M17" s="295"/>
      <c r="N17" s="45">
        <v>250</v>
      </c>
      <c r="O17" t="s">
        <v>45</v>
      </c>
    </row>
    <row r="18" spans="2:15">
      <c r="C18" t="s">
        <v>147</v>
      </c>
      <c r="E18" s="45">
        <v>0</v>
      </c>
      <c r="F18" t="s">
        <v>45</v>
      </c>
      <c r="H18" s="295"/>
      <c r="I18" s="45">
        <v>0</v>
      </c>
      <c r="J18" t="s">
        <v>45</v>
      </c>
      <c r="M18" s="295"/>
      <c r="N18" s="45">
        <v>0</v>
      </c>
      <c r="O18" t="s">
        <v>45</v>
      </c>
    </row>
    <row r="19" spans="2:15">
      <c r="B19" s="126" t="s">
        <v>162</v>
      </c>
      <c r="E19" s="127"/>
      <c r="H19" s="295"/>
      <c r="I19" s="102"/>
      <c r="M19" s="295"/>
      <c r="N19" s="102"/>
    </row>
    <row r="20" spans="2:15">
      <c r="B20" t="s">
        <v>65</v>
      </c>
      <c r="C20" t="s">
        <v>66</v>
      </c>
      <c r="E20" s="102"/>
      <c r="F20" t="s">
        <v>45</v>
      </c>
      <c r="H20" s="296"/>
      <c r="I20" s="45">
        <v>4611</v>
      </c>
      <c r="J20" t="s">
        <v>45</v>
      </c>
      <c r="M20" s="296"/>
      <c r="N20" s="45"/>
      <c r="O20" t="s">
        <v>45</v>
      </c>
    </row>
    <row r="21" spans="2:15">
      <c r="B21" s="126" t="s">
        <v>167</v>
      </c>
      <c r="D21" s="118"/>
      <c r="E21" s="127"/>
      <c r="F21" s="118"/>
      <c r="G21" s="118"/>
      <c r="H21" s="131"/>
      <c r="I21" s="123"/>
      <c r="M21" s="117"/>
      <c r="N21" s="123"/>
    </row>
    <row r="22" spans="2:15">
      <c r="B22" s="284" t="s">
        <v>101</v>
      </c>
      <c r="C22" t="s">
        <v>161</v>
      </c>
      <c r="E22" s="47">
        <v>0.4</v>
      </c>
    </row>
    <row r="23" spans="2:15">
      <c r="B23" s="284"/>
      <c r="C23" t="s">
        <v>160</v>
      </c>
      <c r="E23" s="47">
        <v>0</v>
      </c>
    </row>
    <row r="24" spans="2:15">
      <c r="B24" s="284"/>
      <c r="C24" s="94" t="s">
        <v>155</v>
      </c>
      <c r="E24" s="47">
        <v>0.3</v>
      </c>
    </row>
    <row r="25" spans="2:15">
      <c r="C25" s="94" t="s">
        <v>154</v>
      </c>
      <c r="E25" s="47">
        <v>0.3</v>
      </c>
    </row>
    <row r="26" spans="2:15">
      <c r="C26" s="94" t="s">
        <v>156</v>
      </c>
      <c r="E26" s="47">
        <v>0</v>
      </c>
    </row>
    <row r="27" spans="2:15">
      <c r="C27" s="94" t="s">
        <v>157</v>
      </c>
      <c r="E27" s="47">
        <v>0</v>
      </c>
    </row>
    <row r="28" spans="2:15">
      <c r="B28" s="126" t="s">
        <v>166</v>
      </c>
      <c r="C28" s="94"/>
      <c r="E28" s="133"/>
    </row>
    <row r="29" spans="2:15">
      <c r="B29" s="284" t="s">
        <v>100</v>
      </c>
      <c r="C29" s="94" t="s">
        <v>152</v>
      </c>
      <c r="E29" s="47">
        <v>0.7</v>
      </c>
    </row>
    <row r="30" spans="2:15">
      <c r="B30" s="284"/>
      <c r="C30" s="94" t="s">
        <v>153</v>
      </c>
      <c r="E30" s="47">
        <v>0.3</v>
      </c>
    </row>
    <row r="31" spans="2:15">
      <c r="B31" s="284"/>
      <c r="C31" s="94" t="s">
        <v>155</v>
      </c>
      <c r="E31" s="47">
        <v>0</v>
      </c>
    </row>
    <row r="32" spans="2:15">
      <c r="C32" s="94" t="s">
        <v>154</v>
      </c>
      <c r="E32" s="47">
        <v>0</v>
      </c>
    </row>
    <row r="33" spans="2:5">
      <c r="C33" s="94" t="s">
        <v>158</v>
      </c>
      <c r="E33" s="47">
        <v>0</v>
      </c>
    </row>
    <row r="34" spans="2:5">
      <c r="C34" s="94" t="s">
        <v>157</v>
      </c>
      <c r="E34" s="47">
        <v>0</v>
      </c>
    </row>
    <row r="35" spans="2:5">
      <c r="C35" s="94"/>
      <c r="E35" s="132"/>
    </row>
    <row r="36" spans="2:5">
      <c r="B36" t="s">
        <v>89</v>
      </c>
      <c r="C36" s="94" t="s">
        <v>145</v>
      </c>
    </row>
    <row r="37" spans="2:5">
      <c r="B37" t="s">
        <v>119</v>
      </c>
    </row>
    <row r="38" spans="2:5">
      <c r="B38" t="s">
        <v>144</v>
      </c>
    </row>
  </sheetData>
  <mergeCells count="5">
    <mergeCell ref="L5:L9"/>
    <mergeCell ref="H12:H20"/>
    <mergeCell ref="M12:M20"/>
    <mergeCell ref="B22:B24"/>
    <mergeCell ref="B29:B31"/>
  </mergeCells>
  <phoneticPr fontId="3"/>
  <pageMargins left="0.7" right="0.7" top="0.75" bottom="0.75" header="0.3" footer="0.3"/>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DF018-7353-4BFC-8C74-3277AA98F965}">
  <sheetPr codeName="Sheet18">
    <tabColor rgb="FF002060"/>
    <pageSetUpPr fitToPage="1"/>
  </sheetPr>
  <dimension ref="A2:CK37"/>
  <sheetViews>
    <sheetView tabSelected="1" zoomScaleNormal="100" workbookViewId="0"/>
  </sheetViews>
  <sheetFormatPr defaultColWidth="9" defaultRowHeight="18"/>
  <cols>
    <col min="1" max="1" width="5.19921875" style="144" customWidth="1"/>
    <col min="2" max="2" width="17.59765625" style="142" customWidth="1"/>
    <col min="3" max="4" width="11.19921875" style="142" customWidth="1"/>
    <col min="5" max="10" width="11.19921875" style="144" customWidth="1"/>
    <col min="11" max="11" width="6.8984375" style="144" customWidth="1"/>
    <col min="12" max="12" width="17.59765625" style="142" customWidth="1"/>
    <col min="13" max="18" width="11.19921875" style="144" customWidth="1"/>
    <col min="19" max="16384" width="9" style="144"/>
  </cols>
  <sheetData>
    <row r="2" spans="1:89" ht="18.600000000000001" thickBot="1"/>
    <row r="3" spans="1:89" ht="29.4" customHeight="1" thickBot="1">
      <c r="E3" s="297" t="s">
        <v>179</v>
      </c>
      <c r="F3" s="297"/>
      <c r="G3" s="297"/>
      <c r="H3" s="297"/>
      <c r="I3" s="297"/>
      <c r="J3" s="297"/>
      <c r="K3" s="297"/>
      <c r="L3" s="297"/>
      <c r="M3" s="297"/>
      <c r="N3" s="297"/>
      <c r="O3" s="297"/>
      <c r="P3" s="297"/>
      <c r="Q3" s="143" t="s">
        <v>71</v>
      </c>
      <c r="R3" s="196">
        <v>0.95</v>
      </c>
    </row>
    <row r="4" spans="1:89" s="145" customFormat="1" ht="21.6" customHeight="1">
      <c r="A4" s="144"/>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row>
    <row r="5" spans="1:89" ht="21.6" customHeight="1">
      <c r="E5" s="142"/>
      <c r="F5" s="142"/>
      <c r="G5" s="142"/>
      <c r="H5" s="142"/>
      <c r="I5" s="142"/>
      <c r="J5" s="142"/>
      <c r="K5" s="142"/>
      <c r="M5" s="142"/>
      <c r="N5" s="142"/>
      <c r="O5" s="142"/>
      <c r="P5" s="142"/>
      <c r="Q5" s="142"/>
      <c r="R5" s="142"/>
      <c r="S5" s="142"/>
      <c r="T5" s="142"/>
      <c r="U5" s="142"/>
    </row>
    <row r="6" spans="1:89" s="148" customFormat="1" ht="21.6" customHeight="1">
      <c r="B6" s="300" t="s">
        <v>241</v>
      </c>
      <c r="C6" s="301"/>
      <c r="D6" s="222"/>
      <c r="E6" s="223"/>
      <c r="F6" s="223"/>
      <c r="G6" s="223"/>
      <c r="H6" s="146"/>
      <c r="I6" s="221"/>
      <c r="J6" s="221" t="s">
        <v>47</v>
      </c>
      <c r="K6" s="142"/>
      <c r="L6" s="298" t="s">
        <v>242</v>
      </c>
      <c r="M6" s="299"/>
      <c r="N6" s="299"/>
      <c r="O6" s="299"/>
    </row>
    <row r="7" spans="1:89" s="148" customFormat="1" ht="21.6" customHeight="1">
      <c r="B7" s="264"/>
      <c r="C7" s="267">
        <f>EDATE(E7,-2)</f>
        <v>45962</v>
      </c>
      <c r="D7" s="267">
        <f>EDATE(E7,-1)</f>
        <v>45992</v>
      </c>
      <c r="E7" s="261">
        <f>資金繰り予定表データ入力!B1</f>
        <v>46023</v>
      </c>
      <c r="F7" s="260">
        <f>EDATE(E7,1)</f>
        <v>46054</v>
      </c>
      <c r="G7" s="260">
        <f>EDATE(E7,2)</f>
        <v>46082</v>
      </c>
      <c r="H7" s="260">
        <f>EDATE(E7,3)</f>
        <v>46113</v>
      </c>
      <c r="I7" s="260">
        <f>EDATE(E7,4)</f>
        <v>46143</v>
      </c>
      <c r="J7" s="262">
        <f>EDATE(E7,5)</f>
        <v>46174</v>
      </c>
      <c r="K7" s="142"/>
      <c r="L7" s="265"/>
      <c r="M7" s="261">
        <f t="shared" ref="M7:R7" si="0">E7</f>
        <v>46023</v>
      </c>
      <c r="N7" s="261">
        <f t="shared" si="0"/>
        <v>46054</v>
      </c>
      <c r="O7" s="261">
        <f t="shared" si="0"/>
        <v>46082</v>
      </c>
      <c r="P7" s="261">
        <f t="shared" si="0"/>
        <v>46113</v>
      </c>
      <c r="Q7" s="261">
        <f t="shared" si="0"/>
        <v>46143</v>
      </c>
      <c r="R7" s="263">
        <f t="shared" si="0"/>
        <v>46174</v>
      </c>
    </row>
    <row r="8" spans="1:89" s="148" customFormat="1" ht="21.6" customHeight="1">
      <c r="B8" s="149" t="s">
        <v>172</v>
      </c>
      <c r="C8" s="150">
        <f>C33-C32</f>
        <v>0</v>
      </c>
      <c r="D8" s="150">
        <f>D33-D32</f>
        <v>0</v>
      </c>
      <c r="E8" s="150">
        <f>D33</f>
        <v>0</v>
      </c>
      <c r="F8" s="150">
        <f t="shared" ref="F8:J8" si="1">E33</f>
        <v>0</v>
      </c>
      <c r="G8" s="150">
        <f t="shared" si="1"/>
        <v>0</v>
      </c>
      <c r="H8" s="150">
        <f t="shared" si="1"/>
        <v>0</v>
      </c>
      <c r="I8" s="150">
        <f t="shared" si="1"/>
        <v>0</v>
      </c>
      <c r="J8" s="150">
        <f t="shared" si="1"/>
        <v>0</v>
      </c>
      <c r="K8" s="142"/>
      <c r="L8" s="151" t="str">
        <f>B8</f>
        <v>月初現預金残高</v>
      </c>
      <c r="M8" s="150">
        <f>E8</f>
        <v>0</v>
      </c>
      <c r="N8" s="150">
        <f>M33</f>
        <v>0</v>
      </c>
      <c r="O8" s="150">
        <f>N33</f>
        <v>0</v>
      </c>
      <c r="P8" s="152">
        <f>O33</f>
        <v>0</v>
      </c>
      <c r="Q8" s="152">
        <f>P33</f>
        <v>0</v>
      </c>
      <c r="R8" s="152">
        <f>Q33</f>
        <v>0</v>
      </c>
    </row>
    <row r="9" spans="1:89" s="148" customFormat="1" ht="21.6" customHeight="1">
      <c r="B9" s="153"/>
      <c r="C9" s="153"/>
      <c r="D9" s="153"/>
      <c r="E9" s="147"/>
      <c r="F9" s="147"/>
      <c r="G9" s="147"/>
      <c r="H9" s="146"/>
      <c r="I9" s="147"/>
      <c r="J9" s="147"/>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row>
    <row r="10" spans="1:89" s="148" customFormat="1" ht="21.6" customHeight="1">
      <c r="B10" s="265"/>
      <c r="C10" s="268">
        <f t="shared" ref="C10:J10" si="2">C7</f>
        <v>45962</v>
      </c>
      <c r="D10" s="268">
        <f t="shared" si="2"/>
        <v>45992</v>
      </c>
      <c r="E10" s="261">
        <f t="shared" si="2"/>
        <v>46023</v>
      </c>
      <c r="F10" s="261">
        <f t="shared" si="2"/>
        <v>46054</v>
      </c>
      <c r="G10" s="261">
        <f t="shared" si="2"/>
        <v>46082</v>
      </c>
      <c r="H10" s="261">
        <f t="shared" si="2"/>
        <v>46113</v>
      </c>
      <c r="I10" s="261">
        <f t="shared" si="2"/>
        <v>46143</v>
      </c>
      <c r="J10" s="263">
        <f t="shared" si="2"/>
        <v>46174</v>
      </c>
      <c r="K10" s="142"/>
      <c r="L10" s="142"/>
      <c r="M10" s="261">
        <f t="shared" ref="M10:R10" si="3">E10</f>
        <v>46023</v>
      </c>
      <c r="N10" s="261">
        <f t="shared" si="3"/>
        <v>46054</v>
      </c>
      <c r="O10" s="261">
        <f t="shared" si="3"/>
        <v>46082</v>
      </c>
      <c r="P10" s="261">
        <f t="shared" si="3"/>
        <v>46113</v>
      </c>
      <c r="Q10" s="261">
        <f t="shared" si="3"/>
        <v>46143</v>
      </c>
      <c r="R10" s="263">
        <f t="shared" si="3"/>
        <v>46174</v>
      </c>
    </row>
    <row r="11" spans="1:89" s="148" customFormat="1" ht="21.6" customHeight="1">
      <c r="B11" s="149" t="s">
        <v>186</v>
      </c>
      <c r="C11" s="154">
        <f>資金繰り予定表データ入力!F19</f>
        <v>0</v>
      </c>
      <c r="D11" s="154">
        <f>資金繰り予定表データ入力!G19</f>
        <v>0</v>
      </c>
      <c r="E11" s="154">
        <f>資金繰り予定表データ入力!H19</f>
        <v>0</v>
      </c>
      <c r="F11" s="154">
        <f>資金繰り予定表データ入力!I19</f>
        <v>0</v>
      </c>
      <c r="G11" s="154">
        <f>資金繰り予定表データ入力!J19</f>
        <v>0</v>
      </c>
      <c r="H11" s="154">
        <f>資金繰り予定表データ入力!K19</f>
        <v>0</v>
      </c>
      <c r="I11" s="154">
        <f>資金繰り予定表データ入力!L19</f>
        <v>0</v>
      </c>
      <c r="J11" s="154">
        <f>資金繰り予定表データ入力!M19</f>
        <v>0</v>
      </c>
      <c r="K11" s="142"/>
      <c r="L11" s="149" t="str">
        <f>B11</f>
        <v>売上入金</v>
      </c>
      <c r="M11" s="152">
        <f>ROUND(E11*$R$3,0)</f>
        <v>0</v>
      </c>
      <c r="N11" s="152">
        <f>ROUND(F11*$R$3,0)</f>
        <v>0</v>
      </c>
      <c r="O11" s="152">
        <f>ROUND(G11*$R$3,0)</f>
        <v>0</v>
      </c>
      <c r="P11" s="152">
        <f t="shared" ref="P11:R11" si="4">ROUND(H11*$R$3,0)</f>
        <v>0</v>
      </c>
      <c r="Q11" s="152">
        <f t="shared" si="4"/>
        <v>0</v>
      </c>
      <c r="R11" s="152">
        <f t="shared" si="4"/>
        <v>0</v>
      </c>
    </row>
    <row r="12" spans="1:89" s="148" customFormat="1" ht="21.6" customHeight="1">
      <c r="B12" s="149" t="s">
        <v>148</v>
      </c>
      <c r="C12" s="154">
        <f>資金繰り予定表データ入力!F25</f>
        <v>0</v>
      </c>
      <c r="D12" s="154">
        <f>資金繰り予定表データ入力!G25</f>
        <v>0</v>
      </c>
      <c r="E12" s="154">
        <f>資金繰り予定表データ入力!H25</f>
        <v>0</v>
      </c>
      <c r="F12" s="154">
        <f>資金繰り予定表データ入力!I25</f>
        <v>0</v>
      </c>
      <c r="G12" s="154">
        <f>資金繰り予定表データ入力!J25</f>
        <v>0</v>
      </c>
      <c r="H12" s="154">
        <f>資金繰り予定表データ入力!K25</f>
        <v>0</v>
      </c>
      <c r="I12" s="154">
        <f>資金繰り予定表データ入力!L25</f>
        <v>0</v>
      </c>
      <c r="J12" s="154">
        <f>資金繰り予定表データ入力!M25</f>
        <v>0</v>
      </c>
      <c r="K12" s="142"/>
      <c r="L12" s="149" t="str">
        <f>B12</f>
        <v>その他収入</v>
      </c>
      <c r="M12" s="152">
        <f>E12</f>
        <v>0</v>
      </c>
      <c r="N12" s="152">
        <f t="shared" ref="N12:R12" si="5">F12</f>
        <v>0</v>
      </c>
      <c r="O12" s="152">
        <f t="shared" si="5"/>
        <v>0</v>
      </c>
      <c r="P12" s="152">
        <f t="shared" si="5"/>
        <v>0</v>
      </c>
      <c r="Q12" s="152">
        <f t="shared" si="5"/>
        <v>0</v>
      </c>
      <c r="R12" s="152">
        <f t="shared" si="5"/>
        <v>0</v>
      </c>
    </row>
    <row r="13" spans="1:89" s="148" customFormat="1" ht="22.5" customHeight="1">
      <c r="B13" s="155" t="s">
        <v>149</v>
      </c>
      <c r="C13" s="109">
        <f>SUM(C11:C12)</f>
        <v>0</v>
      </c>
      <c r="D13" s="109">
        <f t="shared" ref="D13:J13" si="6">SUM(D11:D12)</f>
        <v>0</v>
      </c>
      <c r="E13" s="109">
        <f>SUM(E11:E12)</f>
        <v>0</v>
      </c>
      <c r="F13" s="109">
        <f t="shared" si="6"/>
        <v>0</v>
      </c>
      <c r="G13" s="109">
        <f t="shared" si="6"/>
        <v>0</v>
      </c>
      <c r="H13" s="109">
        <f t="shared" si="6"/>
        <v>0</v>
      </c>
      <c r="I13" s="109">
        <f t="shared" si="6"/>
        <v>0</v>
      </c>
      <c r="J13" s="109">
        <f t="shared" si="6"/>
        <v>0</v>
      </c>
      <c r="K13" s="142"/>
      <c r="L13" s="155" t="str">
        <f>B13</f>
        <v>経常収入</v>
      </c>
      <c r="M13" s="111">
        <f>SUM(M11:M12)</f>
        <v>0</v>
      </c>
      <c r="N13" s="111">
        <f t="shared" ref="N13:R13" si="7">SUM(N11:N12)</f>
        <v>0</v>
      </c>
      <c r="O13" s="111">
        <f t="shared" si="7"/>
        <v>0</v>
      </c>
      <c r="P13" s="111">
        <f t="shared" si="7"/>
        <v>0</v>
      </c>
      <c r="Q13" s="111">
        <f t="shared" si="7"/>
        <v>0</v>
      </c>
      <c r="R13" s="111">
        <f t="shared" si="7"/>
        <v>0</v>
      </c>
    </row>
    <row r="14" spans="1:89" s="148" customFormat="1" ht="22.5" customHeight="1">
      <c r="B14" s="153"/>
      <c r="C14" s="153"/>
      <c r="D14" s="153"/>
      <c r="E14" s="157"/>
      <c r="F14" s="157"/>
      <c r="G14" s="157"/>
      <c r="H14" s="157"/>
      <c r="I14" s="157"/>
      <c r="J14" s="157"/>
      <c r="K14" s="142"/>
      <c r="L14" s="153"/>
    </row>
    <row r="15" spans="1:89" s="148" customFormat="1" ht="22.5" customHeight="1">
      <c r="B15" s="265"/>
      <c r="C15" s="267">
        <f>C7</f>
        <v>45962</v>
      </c>
      <c r="D15" s="267">
        <f>D7</f>
        <v>45992</v>
      </c>
      <c r="E15" s="261">
        <f>E10</f>
        <v>46023</v>
      </c>
      <c r="F15" s="260">
        <f>F7</f>
        <v>46054</v>
      </c>
      <c r="G15" s="260">
        <f>G7</f>
        <v>46082</v>
      </c>
      <c r="H15" s="260">
        <f>H7</f>
        <v>46113</v>
      </c>
      <c r="I15" s="260">
        <f>I7</f>
        <v>46143</v>
      </c>
      <c r="J15" s="262">
        <f>J7</f>
        <v>46174</v>
      </c>
      <c r="K15" s="142"/>
      <c r="L15" s="265"/>
      <c r="M15" s="261">
        <f t="shared" ref="M15:R15" si="8">E15</f>
        <v>46023</v>
      </c>
      <c r="N15" s="261">
        <f t="shared" si="8"/>
        <v>46054</v>
      </c>
      <c r="O15" s="261">
        <f t="shared" si="8"/>
        <v>46082</v>
      </c>
      <c r="P15" s="261">
        <f t="shared" si="8"/>
        <v>46113</v>
      </c>
      <c r="Q15" s="261">
        <f t="shared" si="8"/>
        <v>46143</v>
      </c>
      <c r="R15" s="263">
        <f t="shared" si="8"/>
        <v>46174</v>
      </c>
    </row>
    <row r="16" spans="1:89" s="148" customFormat="1" ht="22.5" customHeight="1">
      <c r="B16" s="149" t="s">
        <v>76</v>
      </c>
      <c r="C16" s="154">
        <f>資金繰り予定表データ入力!F21</f>
        <v>0</v>
      </c>
      <c r="D16" s="154">
        <f>資金繰り予定表データ入力!G21</f>
        <v>0</v>
      </c>
      <c r="E16" s="154">
        <f>資金繰り予定表データ入力!H21</f>
        <v>0</v>
      </c>
      <c r="F16" s="154">
        <f>資金繰り予定表データ入力!I21</f>
        <v>0</v>
      </c>
      <c r="G16" s="154">
        <f>資金繰り予定表データ入力!J21</f>
        <v>0</v>
      </c>
      <c r="H16" s="154">
        <f>資金繰り予定表データ入力!K21</f>
        <v>0</v>
      </c>
      <c r="I16" s="154">
        <f>資金繰り予定表データ入力!L21</f>
        <v>0</v>
      </c>
      <c r="J16" s="154">
        <f>資金繰り予定表データ入力!M21</f>
        <v>0</v>
      </c>
      <c r="K16" s="142"/>
      <c r="L16" s="149" t="str">
        <f>B16</f>
        <v>仕入支払</v>
      </c>
      <c r="M16" s="152">
        <f t="shared" ref="M16:R16" si="9">ROUND(E16*$R$3,0)</f>
        <v>0</v>
      </c>
      <c r="N16" s="152">
        <f t="shared" si="9"/>
        <v>0</v>
      </c>
      <c r="O16" s="152">
        <f t="shared" si="9"/>
        <v>0</v>
      </c>
      <c r="P16" s="152">
        <f t="shared" si="9"/>
        <v>0</v>
      </c>
      <c r="Q16" s="152">
        <f t="shared" si="9"/>
        <v>0</v>
      </c>
      <c r="R16" s="152">
        <f t="shared" si="9"/>
        <v>0</v>
      </c>
    </row>
    <row r="17" spans="1:19" s="148" customFormat="1" ht="22.5" customHeight="1">
      <c r="B17" s="155" t="s">
        <v>76</v>
      </c>
      <c r="C17" s="109">
        <f>C16</f>
        <v>0</v>
      </c>
      <c r="D17" s="109">
        <f t="shared" ref="D17:J17" si="10">D16</f>
        <v>0</v>
      </c>
      <c r="E17" s="109">
        <f t="shared" si="10"/>
        <v>0</v>
      </c>
      <c r="F17" s="109">
        <f t="shared" si="10"/>
        <v>0</v>
      </c>
      <c r="G17" s="109">
        <f t="shared" si="10"/>
        <v>0</v>
      </c>
      <c r="H17" s="109">
        <f t="shared" si="10"/>
        <v>0</v>
      </c>
      <c r="I17" s="109">
        <f t="shared" si="10"/>
        <v>0</v>
      </c>
      <c r="J17" s="109">
        <f t="shared" si="10"/>
        <v>0</v>
      </c>
      <c r="K17" s="142"/>
      <c r="L17" s="155" t="str">
        <f>B17</f>
        <v>仕入支払</v>
      </c>
      <c r="M17" s="111">
        <f>M16</f>
        <v>0</v>
      </c>
      <c r="N17" s="111">
        <f t="shared" ref="N17:R17" si="11">N16</f>
        <v>0</v>
      </c>
      <c r="O17" s="111">
        <f t="shared" si="11"/>
        <v>0</v>
      </c>
      <c r="P17" s="111">
        <f t="shared" si="11"/>
        <v>0</v>
      </c>
      <c r="Q17" s="111">
        <f t="shared" si="11"/>
        <v>0</v>
      </c>
      <c r="R17" s="111">
        <f t="shared" si="11"/>
        <v>0</v>
      </c>
    </row>
    <row r="18" spans="1:19" s="148" customFormat="1" ht="22.5" customHeight="1">
      <c r="B18" s="153"/>
      <c r="C18" s="158"/>
      <c r="D18" s="158"/>
      <c r="E18" s="157"/>
      <c r="F18" s="157"/>
      <c r="G18" s="157"/>
      <c r="H18" s="157"/>
      <c r="I18" s="157"/>
      <c r="J18" s="157"/>
      <c r="K18" s="142"/>
      <c r="L18" s="153"/>
      <c r="M18" s="159"/>
      <c r="N18" s="159"/>
      <c r="O18" s="159"/>
      <c r="P18" s="159"/>
      <c r="Q18" s="159"/>
      <c r="R18" s="159"/>
    </row>
    <row r="19" spans="1:19" s="148" customFormat="1" ht="22.5" customHeight="1">
      <c r="B19" s="149" t="s">
        <v>77</v>
      </c>
      <c r="C19" s="154">
        <f>資金繰り予定表データ入力!F30</f>
        <v>0</v>
      </c>
      <c r="D19" s="154">
        <f>資金繰り予定表データ入力!G30</f>
        <v>0</v>
      </c>
      <c r="E19" s="154">
        <f>資金繰り予定表データ入力!H30</f>
        <v>0</v>
      </c>
      <c r="F19" s="154">
        <f>資金繰り予定表データ入力!I30</f>
        <v>0</v>
      </c>
      <c r="G19" s="154">
        <f>資金繰り予定表データ入力!J30</f>
        <v>0</v>
      </c>
      <c r="H19" s="154">
        <f>資金繰り予定表データ入力!K30</f>
        <v>0</v>
      </c>
      <c r="I19" s="154">
        <f>資金繰り予定表データ入力!L30</f>
        <v>0</v>
      </c>
      <c r="J19" s="154">
        <f>資金繰り予定表データ入力!M30</f>
        <v>0</v>
      </c>
      <c r="K19" s="142"/>
      <c r="L19" s="149" t="str">
        <f>B19</f>
        <v>人件費</v>
      </c>
      <c r="M19" s="152">
        <f>E19</f>
        <v>0</v>
      </c>
      <c r="N19" s="152">
        <f t="shared" ref="N19:R19" si="12">F19</f>
        <v>0</v>
      </c>
      <c r="O19" s="152">
        <f t="shared" si="12"/>
        <v>0</v>
      </c>
      <c r="P19" s="152">
        <f t="shared" si="12"/>
        <v>0</v>
      </c>
      <c r="Q19" s="152">
        <f t="shared" si="12"/>
        <v>0</v>
      </c>
      <c r="R19" s="152">
        <f t="shared" si="12"/>
        <v>0</v>
      </c>
    </row>
    <row r="20" spans="1:19" s="148" customFormat="1" ht="22.5" customHeight="1">
      <c r="B20" s="149" t="s">
        <v>238</v>
      </c>
      <c r="C20" s="154">
        <f>資金繰り予定表データ入力!F31</f>
        <v>0</v>
      </c>
      <c r="D20" s="154">
        <f>資金繰り予定表データ入力!G31</f>
        <v>0</v>
      </c>
      <c r="E20" s="154">
        <f>資金繰り予定表データ入力!H31</f>
        <v>0</v>
      </c>
      <c r="F20" s="154">
        <f>資金繰り予定表データ入力!I31</f>
        <v>0</v>
      </c>
      <c r="G20" s="154">
        <f>資金繰り予定表データ入力!J31</f>
        <v>0</v>
      </c>
      <c r="H20" s="154">
        <f>資金繰り予定表データ入力!K31</f>
        <v>0</v>
      </c>
      <c r="I20" s="154">
        <f>資金繰り予定表データ入力!L31</f>
        <v>0</v>
      </c>
      <c r="J20" s="154">
        <f>資金繰り予定表データ入力!M31</f>
        <v>0</v>
      </c>
      <c r="K20" s="142"/>
      <c r="L20" s="149" t="str">
        <f t="shared" ref="L20:L33" si="13">B20</f>
        <v>外注工費</v>
      </c>
      <c r="M20" s="152">
        <f>ROUND(E20*$R$3,0)</f>
        <v>0</v>
      </c>
      <c r="N20" s="152">
        <f>ROUND(F20*$R$3,0)</f>
        <v>0</v>
      </c>
      <c r="O20" s="152">
        <f t="shared" ref="O20:Q20" si="14">ROUND(G20*$R$3,0)</f>
        <v>0</v>
      </c>
      <c r="P20" s="152">
        <f>ROUND(H20*$R$3,0)</f>
        <v>0</v>
      </c>
      <c r="Q20" s="152">
        <f t="shared" si="14"/>
        <v>0</v>
      </c>
      <c r="R20" s="152">
        <f>ROUND(J20*$R$3,0)</f>
        <v>0</v>
      </c>
    </row>
    <row r="21" spans="1:19" s="148" customFormat="1" ht="22.5" customHeight="1">
      <c r="B21" s="149" t="s">
        <v>239</v>
      </c>
      <c r="C21" s="154">
        <f>資金繰り予定表データ入力!F29</f>
        <v>0</v>
      </c>
      <c r="D21" s="154">
        <f>資金繰り予定表データ入力!G29</f>
        <v>0</v>
      </c>
      <c r="E21" s="154">
        <f>資金繰り予定表データ入力!H29</f>
        <v>0</v>
      </c>
      <c r="F21" s="154">
        <f>資金繰り予定表データ入力!I29</f>
        <v>0</v>
      </c>
      <c r="G21" s="154">
        <f>資金繰り予定表データ入力!J29</f>
        <v>0</v>
      </c>
      <c r="H21" s="154">
        <f>資金繰り予定表データ入力!K29</f>
        <v>0</v>
      </c>
      <c r="I21" s="154">
        <f>資金繰り予定表データ入力!L29</f>
        <v>0</v>
      </c>
      <c r="J21" s="154">
        <f>資金繰り予定表データ入力!M29</f>
        <v>0</v>
      </c>
      <c r="K21" s="142"/>
      <c r="L21" s="149" t="str">
        <f t="shared" si="13"/>
        <v>営業経費等</v>
      </c>
      <c r="M21" s="152">
        <f t="shared" ref="M21:M23" si="15">E21</f>
        <v>0</v>
      </c>
      <c r="N21" s="152">
        <f t="shared" ref="N21:N23" si="16">F21</f>
        <v>0</v>
      </c>
      <c r="O21" s="152">
        <f t="shared" ref="O21:O23" si="17">G21</f>
        <v>0</v>
      </c>
      <c r="P21" s="152">
        <f t="shared" ref="P21:P23" si="18">H21</f>
        <v>0</v>
      </c>
      <c r="Q21" s="152">
        <f t="shared" ref="Q21:Q23" si="19">I21</f>
        <v>0</v>
      </c>
      <c r="R21" s="152">
        <f t="shared" ref="R21:R23" si="20">J21</f>
        <v>0</v>
      </c>
    </row>
    <row r="22" spans="1:19" s="148" customFormat="1" ht="22.5" customHeight="1">
      <c r="B22" s="149" t="s">
        <v>227</v>
      </c>
      <c r="C22" s="154">
        <f>資金繰り予定表データ入力!F32</f>
        <v>0</v>
      </c>
      <c r="D22" s="154">
        <f>資金繰り予定表データ入力!G32</f>
        <v>0</v>
      </c>
      <c r="E22" s="154">
        <f>資金繰り予定表データ入力!H32</f>
        <v>0</v>
      </c>
      <c r="F22" s="154">
        <f>資金繰り予定表データ入力!I32</f>
        <v>0</v>
      </c>
      <c r="G22" s="154">
        <f>資金繰り予定表データ入力!J32</f>
        <v>0</v>
      </c>
      <c r="H22" s="154">
        <f>資金繰り予定表データ入力!K32</f>
        <v>0</v>
      </c>
      <c r="I22" s="154">
        <f>資金繰り予定表データ入力!L32</f>
        <v>0</v>
      </c>
      <c r="J22" s="154">
        <f>資金繰り予定表データ入力!M32</f>
        <v>0</v>
      </c>
      <c r="K22" s="142"/>
      <c r="L22" s="149" t="str">
        <f t="shared" si="13"/>
        <v>租税公課</v>
      </c>
      <c r="M22" s="152">
        <f t="shared" si="15"/>
        <v>0</v>
      </c>
      <c r="N22" s="152">
        <f t="shared" si="16"/>
        <v>0</v>
      </c>
      <c r="O22" s="152">
        <f t="shared" si="17"/>
        <v>0</v>
      </c>
      <c r="P22" s="152">
        <f t="shared" si="18"/>
        <v>0</v>
      </c>
      <c r="Q22" s="152">
        <f t="shared" si="19"/>
        <v>0</v>
      </c>
      <c r="R22" s="152">
        <f t="shared" si="20"/>
        <v>0</v>
      </c>
    </row>
    <row r="23" spans="1:19" s="148" customFormat="1" ht="22.5" customHeight="1">
      <c r="B23" s="149" t="s">
        <v>182</v>
      </c>
      <c r="C23" s="154">
        <f>資金繰り予定表データ入力!F33</f>
        <v>0</v>
      </c>
      <c r="D23" s="154">
        <f>資金繰り予定表データ入力!G33</f>
        <v>0</v>
      </c>
      <c r="E23" s="154">
        <f>資金繰り予定表データ入力!H33</f>
        <v>0</v>
      </c>
      <c r="F23" s="154">
        <f>資金繰り予定表データ入力!I33</f>
        <v>0</v>
      </c>
      <c r="G23" s="154">
        <f>資金繰り予定表データ入力!J33</f>
        <v>0</v>
      </c>
      <c r="H23" s="154">
        <f>資金繰り予定表データ入力!K33</f>
        <v>0</v>
      </c>
      <c r="I23" s="154">
        <f>資金繰り予定表データ入力!L33</f>
        <v>0</v>
      </c>
      <c r="J23" s="154">
        <f>資金繰り予定表データ入力!M33</f>
        <v>0</v>
      </c>
      <c r="K23" s="142"/>
      <c r="L23" s="149" t="str">
        <f t="shared" si="13"/>
        <v>その他支出</v>
      </c>
      <c r="M23" s="152">
        <f t="shared" si="15"/>
        <v>0</v>
      </c>
      <c r="N23" s="152">
        <f t="shared" si="16"/>
        <v>0</v>
      </c>
      <c r="O23" s="152">
        <f t="shared" si="17"/>
        <v>0</v>
      </c>
      <c r="P23" s="152">
        <f t="shared" si="18"/>
        <v>0</v>
      </c>
      <c r="Q23" s="152">
        <f t="shared" si="19"/>
        <v>0</v>
      </c>
      <c r="R23" s="152">
        <f t="shared" si="20"/>
        <v>0</v>
      </c>
    </row>
    <row r="24" spans="1:19" s="148" customFormat="1" ht="22.5" customHeight="1">
      <c r="B24" s="155" t="s">
        <v>123</v>
      </c>
      <c r="C24" s="156">
        <f>C17+SUM(C19:C23)</f>
        <v>0</v>
      </c>
      <c r="D24" s="156">
        <f>D17+SUM(D19:D23)</f>
        <v>0</v>
      </c>
      <c r="E24" s="156">
        <f>E17+SUM(E19:E23)</f>
        <v>0</v>
      </c>
      <c r="F24" s="156">
        <f t="shared" ref="F24:J24" si="21">F17+SUM(F19:F23)</f>
        <v>0</v>
      </c>
      <c r="G24" s="156">
        <f t="shared" si="21"/>
        <v>0</v>
      </c>
      <c r="H24" s="156">
        <f t="shared" si="21"/>
        <v>0</v>
      </c>
      <c r="I24" s="156">
        <f t="shared" si="21"/>
        <v>0</v>
      </c>
      <c r="J24" s="156">
        <f t="shared" si="21"/>
        <v>0</v>
      </c>
      <c r="K24" s="142"/>
      <c r="L24" s="155" t="str">
        <f t="shared" si="13"/>
        <v>経常支出</v>
      </c>
      <c r="M24" s="156">
        <f>M17+SUM(M19:M23)</f>
        <v>0</v>
      </c>
      <c r="N24" s="156">
        <f>N17+SUM(N19:N23)</f>
        <v>0</v>
      </c>
      <c r="O24" s="156">
        <f t="shared" ref="O24:R24" si="22">O17+SUM(O19:O23)</f>
        <v>0</v>
      </c>
      <c r="P24" s="156">
        <f t="shared" si="22"/>
        <v>0</v>
      </c>
      <c r="Q24" s="156">
        <f t="shared" si="22"/>
        <v>0</v>
      </c>
      <c r="R24" s="156">
        <f t="shared" si="22"/>
        <v>0</v>
      </c>
    </row>
    <row r="25" spans="1:19" s="148" customFormat="1" ht="22.5" customHeight="1">
      <c r="B25" s="155" t="s">
        <v>122</v>
      </c>
      <c r="C25" s="156">
        <f>C13-C24</f>
        <v>0</v>
      </c>
      <c r="D25" s="156">
        <f t="shared" ref="D25:J25" si="23">D13-D24</f>
        <v>0</v>
      </c>
      <c r="E25" s="156">
        <f t="shared" si="23"/>
        <v>0</v>
      </c>
      <c r="F25" s="156">
        <f t="shared" si="23"/>
        <v>0</v>
      </c>
      <c r="G25" s="156">
        <f t="shared" si="23"/>
        <v>0</v>
      </c>
      <c r="H25" s="156">
        <f t="shared" si="23"/>
        <v>0</v>
      </c>
      <c r="I25" s="156">
        <f t="shared" si="23"/>
        <v>0</v>
      </c>
      <c r="J25" s="156">
        <f t="shared" si="23"/>
        <v>0</v>
      </c>
      <c r="K25" s="142"/>
      <c r="L25" s="155" t="str">
        <f t="shared" si="13"/>
        <v>経常収支</v>
      </c>
      <c r="M25" s="156">
        <f>M13-M24</f>
        <v>0</v>
      </c>
      <c r="N25" s="156">
        <f t="shared" ref="N25:R25" si="24">N13-N24</f>
        <v>0</v>
      </c>
      <c r="O25" s="156">
        <f t="shared" si="24"/>
        <v>0</v>
      </c>
      <c r="P25" s="156">
        <f t="shared" si="24"/>
        <v>0</v>
      </c>
      <c r="Q25" s="156">
        <f t="shared" si="24"/>
        <v>0</v>
      </c>
      <c r="R25" s="156">
        <f t="shared" si="24"/>
        <v>0</v>
      </c>
    </row>
    <row r="26" spans="1:19" s="148" customFormat="1" ht="22.5" customHeight="1">
      <c r="A26" s="160"/>
      <c r="B26" s="266"/>
      <c r="C26" s="161"/>
      <c r="D26" s="161"/>
      <c r="E26" s="161"/>
      <c r="F26" s="161"/>
      <c r="G26" s="161"/>
      <c r="H26" s="161"/>
      <c r="I26" s="161"/>
      <c r="J26" s="161"/>
      <c r="K26" s="142"/>
      <c r="L26" s="266"/>
      <c r="M26" s="161"/>
      <c r="N26" s="161"/>
      <c r="O26" s="161"/>
      <c r="P26" s="161"/>
      <c r="Q26" s="161"/>
      <c r="R26" s="161"/>
      <c r="S26" s="160"/>
    </row>
    <row r="27" spans="1:19" s="148" customFormat="1" ht="22.5" customHeight="1">
      <c r="A27" s="160"/>
      <c r="B27" s="265"/>
      <c r="C27" s="267">
        <f>C7</f>
        <v>45962</v>
      </c>
      <c r="D27" s="267">
        <f t="shared" ref="D27:J27" si="25">D7</f>
        <v>45992</v>
      </c>
      <c r="E27" s="260">
        <f t="shared" si="25"/>
        <v>46023</v>
      </c>
      <c r="F27" s="260">
        <f t="shared" si="25"/>
        <v>46054</v>
      </c>
      <c r="G27" s="260">
        <f t="shared" si="25"/>
        <v>46082</v>
      </c>
      <c r="H27" s="260">
        <f t="shared" si="25"/>
        <v>46113</v>
      </c>
      <c r="I27" s="260">
        <f t="shared" si="25"/>
        <v>46143</v>
      </c>
      <c r="J27" s="260">
        <f t="shared" si="25"/>
        <v>46174</v>
      </c>
      <c r="K27" s="142"/>
      <c r="L27" s="264"/>
      <c r="M27" s="261">
        <f>E27</f>
        <v>46023</v>
      </c>
      <c r="N27" s="261">
        <f t="shared" ref="N27:R27" si="26">F27</f>
        <v>46054</v>
      </c>
      <c r="O27" s="261">
        <f t="shared" si="26"/>
        <v>46082</v>
      </c>
      <c r="P27" s="261">
        <f t="shared" si="26"/>
        <v>46113</v>
      </c>
      <c r="Q27" s="261">
        <f t="shared" si="26"/>
        <v>46143</v>
      </c>
      <c r="R27" s="261">
        <f t="shared" si="26"/>
        <v>46174</v>
      </c>
      <c r="S27" s="160"/>
    </row>
    <row r="28" spans="1:19" s="148" customFormat="1" ht="22.5" customHeight="1">
      <c r="B28" s="149" t="s">
        <v>94</v>
      </c>
      <c r="C28" s="195">
        <f>資金繰り予定表データ入力!F36</f>
        <v>0</v>
      </c>
      <c r="D28" s="195">
        <f>資金繰り予定表データ入力!G36</f>
        <v>0</v>
      </c>
      <c r="E28" s="195">
        <f>資金繰り予定表データ入力!H36</f>
        <v>0</v>
      </c>
      <c r="F28" s="195">
        <f>資金繰り予定表データ入力!I36</f>
        <v>0</v>
      </c>
      <c r="G28" s="195">
        <f>資金繰り予定表データ入力!J36</f>
        <v>0</v>
      </c>
      <c r="H28" s="195">
        <f>資金繰り予定表データ入力!K36</f>
        <v>0</v>
      </c>
      <c r="I28" s="195">
        <f>資金繰り予定表データ入力!L36</f>
        <v>0</v>
      </c>
      <c r="J28" s="195">
        <f>資金繰り予定表データ入力!M36</f>
        <v>0</v>
      </c>
      <c r="K28" s="142"/>
      <c r="L28" s="149" t="str">
        <f t="shared" si="13"/>
        <v>借入金調達</v>
      </c>
      <c r="M28" s="152">
        <f>E28</f>
        <v>0</v>
      </c>
      <c r="N28" s="152">
        <f>F28</f>
        <v>0</v>
      </c>
      <c r="O28" s="152">
        <f t="shared" ref="N28:R30" si="27">G28</f>
        <v>0</v>
      </c>
      <c r="P28" s="152">
        <f t="shared" si="27"/>
        <v>0</v>
      </c>
      <c r="Q28" s="152">
        <f t="shared" si="27"/>
        <v>0</v>
      </c>
      <c r="R28" s="152">
        <f t="shared" si="27"/>
        <v>0</v>
      </c>
    </row>
    <row r="29" spans="1:19" s="148" customFormat="1" ht="22.5" customHeight="1">
      <c r="B29" s="149" t="s">
        <v>79</v>
      </c>
      <c r="C29" s="195">
        <f>資金繰り予定表データ入力!F37</f>
        <v>0</v>
      </c>
      <c r="D29" s="195">
        <f>資金繰り予定表データ入力!G37</f>
        <v>0</v>
      </c>
      <c r="E29" s="195">
        <f>資金繰り予定表データ入力!H37</f>
        <v>0</v>
      </c>
      <c r="F29" s="195">
        <f>資金繰り予定表データ入力!I37</f>
        <v>0</v>
      </c>
      <c r="G29" s="195">
        <f>資金繰り予定表データ入力!J37</f>
        <v>0</v>
      </c>
      <c r="H29" s="195">
        <f>資金繰り予定表データ入力!K37</f>
        <v>0</v>
      </c>
      <c r="I29" s="195">
        <f>資金繰り予定表データ入力!L37</f>
        <v>0</v>
      </c>
      <c r="J29" s="195">
        <f>資金繰り予定表データ入力!M37</f>
        <v>0</v>
      </c>
      <c r="L29" s="149" t="str">
        <f t="shared" si="13"/>
        <v>借入金返済</v>
      </c>
      <c r="M29" s="152">
        <f>E29</f>
        <v>0</v>
      </c>
      <c r="N29" s="152">
        <f>F29</f>
        <v>0</v>
      </c>
      <c r="O29" s="152">
        <f t="shared" si="27"/>
        <v>0</v>
      </c>
      <c r="P29" s="152">
        <f t="shared" si="27"/>
        <v>0</v>
      </c>
      <c r="Q29" s="152">
        <f t="shared" si="27"/>
        <v>0</v>
      </c>
      <c r="R29" s="152">
        <f t="shared" si="27"/>
        <v>0</v>
      </c>
    </row>
    <row r="30" spans="1:19" s="148" customFormat="1" ht="22.5" customHeight="1">
      <c r="B30" s="149" t="s">
        <v>146</v>
      </c>
      <c r="C30" s="195">
        <f>資金繰り予定表データ入力!F38</f>
        <v>0</v>
      </c>
      <c r="D30" s="195">
        <f>資金繰り予定表データ入力!G38</f>
        <v>0</v>
      </c>
      <c r="E30" s="195">
        <f>資金繰り予定表データ入力!H38</f>
        <v>0</v>
      </c>
      <c r="F30" s="195">
        <f>資金繰り予定表データ入力!I38</f>
        <v>0</v>
      </c>
      <c r="G30" s="195">
        <f>資金繰り予定表データ入力!J38</f>
        <v>0</v>
      </c>
      <c r="H30" s="195">
        <f>資金繰り予定表データ入力!K38</f>
        <v>0</v>
      </c>
      <c r="I30" s="195">
        <f>資金繰り予定表データ入力!L38</f>
        <v>0</v>
      </c>
      <c r="J30" s="195">
        <f>資金繰り予定表データ入力!M38</f>
        <v>0</v>
      </c>
      <c r="L30" s="149" t="str">
        <f t="shared" si="13"/>
        <v>設備投資</v>
      </c>
      <c r="M30" s="152">
        <f>E30</f>
        <v>0</v>
      </c>
      <c r="N30" s="152">
        <f t="shared" si="27"/>
        <v>0</v>
      </c>
      <c r="O30" s="152">
        <f t="shared" si="27"/>
        <v>0</v>
      </c>
      <c r="P30" s="152">
        <f t="shared" si="27"/>
        <v>0</v>
      </c>
      <c r="Q30" s="152">
        <f t="shared" si="27"/>
        <v>0</v>
      </c>
      <c r="R30" s="152">
        <f t="shared" si="27"/>
        <v>0</v>
      </c>
    </row>
    <row r="31" spans="1:19" s="148" customFormat="1" ht="22.5" customHeight="1">
      <c r="B31" s="155" t="s">
        <v>151</v>
      </c>
      <c r="C31" s="162">
        <f>C28-C29-C30</f>
        <v>0</v>
      </c>
      <c r="D31" s="162">
        <f t="shared" ref="D31:J31" si="28">D28-D29-D30</f>
        <v>0</v>
      </c>
      <c r="E31" s="162">
        <f t="shared" si="28"/>
        <v>0</v>
      </c>
      <c r="F31" s="162">
        <f t="shared" si="28"/>
        <v>0</v>
      </c>
      <c r="G31" s="162">
        <f t="shared" si="28"/>
        <v>0</v>
      </c>
      <c r="H31" s="162">
        <f t="shared" si="28"/>
        <v>0</v>
      </c>
      <c r="I31" s="162">
        <f t="shared" si="28"/>
        <v>0</v>
      </c>
      <c r="J31" s="162">
        <f t="shared" si="28"/>
        <v>0</v>
      </c>
      <c r="L31" s="155" t="str">
        <f t="shared" si="13"/>
        <v>財務収支他</v>
      </c>
      <c r="M31" s="162">
        <f>M28-M29-M30</f>
        <v>0</v>
      </c>
      <c r="N31" s="162">
        <f t="shared" ref="N31:R31" si="29">N28-N29-N30</f>
        <v>0</v>
      </c>
      <c r="O31" s="162">
        <f t="shared" si="29"/>
        <v>0</v>
      </c>
      <c r="P31" s="162">
        <f t="shared" si="29"/>
        <v>0</v>
      </c>
      <c r="Q31" s="162">
        <f t="shared" si="29"/>
        <v>0</v>
      </c>
      <c r="R31" s="162">
        <f t="shared" si="29"/>
        <v>0</v>
      </c>
    </row>
    <row r="32" spans="1:19" s="148" customFormat="1" ht="22.5" customHeight="1">
      <c r="B32" s="155" t="s">
        <v>83</v>
      </c>
      <c r="C32" s="162">
        <f>C25+C31</f>
        <v>0</v>
      </c>
      <c r="D32" s="162">
        <f>D25+D31</f>
        <v>0</v>
      </c>
      <c r="E32" s="162">
        <f t="shared" ref="E32:J32" si="30">E25+E31</f>
        <v>0</v>
      </c>
      <c r="F32" s="162">
        <f t="shared" si="30"/>
        <v>0</v>
      </c>
      <c r="G32" s="162">
        <f t="shared" si="30"/>
        <v>0</v>
      </c>
      <c r="H32" s="162">
        <f t="shared" si="30"/>
        <v>0</v>
      </c>
      <c r="I32" s="162">
        <f t="shared" si="30"/>
        <v>0</v>
      </c>
      <c r="J32" s="162">
        <f t="shared" si="30"/>
        <v>0</v>
      </c>
      <c r="L32" s="155" t="str">
        <f t="shared" si="13"/>
        <v>当月収支</v>
      </c>
      <c r="M32" s="162">
        <f>M25+M31</f>
        <v>0</v>
      </c>
      <c r="N32" s="162">
        <f t="shared" ref="N32:R32" si="31">N25+N31</f>
        <v>0</v>
      </c>
      <c r="O32" s="162">
        <f t="shared" si="31"/>
        <v>0</v>
      </c>
      <c r="P32" s="162">
        <f t="shared" si="31"/>
        <v>0</v>
      </c>
      <c r="Q32" s="162">
        <f t="shared" si="31"/>
        <v>0</v>
      </c>
      <c r="R32" s="162">
        <f t="shared" si="31"/>
        <v>0</v>
      </c>
    </row>
    <row r="33" spans="2:18" s="148" customFormat="1" ht="22.5" customHeight="1">
      <c r="B33" s="200" t="s">
        <v>173</v>
      </c>
      <c r="C33" s="201">
        <f>D8</f>
        <v>0</v>
      </c>
      <c r="D33" s="201">
        <f>資金繰り予定表データ入力!F41</f>
        <v>0</v>
      </c>
      <c r="E33" s="201">
        <f>E8+E32</f>
        <v>0</v>
      </c>
      <c r="F33" s="201">
        <f t="shared" ref="F33:J33" si="32">F8+F32</f>
        <v>0</v>
      </c>
      <c r="G33" s="201">
        <f t="shared" si="32"/>
        <v>0</v>
      </c>
      <c r="H33" s="201">
        <f t="shared" si="32"/>
        <v>0</v>
      </c>
      <c r="I33" s="201">
        <f t="shared" si="32"/>
        <v>0</v>
      </c>
      <c r="J33" s="201">
        <f t="shared" si="32"/>
        <v>0</v>
      </c>
      <c r="L33" s="200" t="str">
        <f t="shared" si="13"/>
        <v>月末現預金残高</v>
      </c>
      <c r="M33" s="201">
        <f>M8+M32</f>
        <v>0</v>
      </c>
      <c r="N33" s="201">
        <f t="shared" ref="N33:R33" si="33">N8+N32</f>
        <v>0</v>
      </c>
      <c r="O33" s="201">
        <f t="shared" si="33"/>
        <v>0</v>
      </c>
      <c r="P33" s="201">
        <f t="shared" si="33"/>
        <v>0</v>
      </c>
      <c r="Q33" s="201">
        <f t="shared" si="33"/>
        <v>0</v>
      </c>
      <c r="R33" s="201">
        <f t="shared" si="33"/>
        <v>0</v>
      </c>
    </row>
    <row r="35" spans="2:18">
      <c r="B35" s="144"/>
      <c r="C35" s="144"/>
      <c r="D35" s="144"/>
    </row>
    <row r="37" spans="2:18" ht="19.2" customHeight="1">
      <c r="B37" s="254"/>
      <c r="C37" s="254"/>
      <c r="D37" s="254"/>
      <c r="E37" s="254"/>
      <c r="F37" s="254"/>
      <c r="G37" s="254"/>
      <c r="H37" s="254"/>
      <c r="I37" s="254"/>
      <c r="J37" s="254"/>
    </row>
  </sheetData>
  <mergeCells count="3">
    <mergeCell ref="E3:P3"/>
    <mergeCell ref="L6:O6"/>
    <mergeCell ref="B6:C6"/>
  </mergeCells>
  <phoneticPr fontId="3"/>
  <pageMargins left="0.7" right="0.7" top="0.75" bottom="0.75" header="0.3" footer="0.3"/>
  <pageSetup paperSize="8" scale="83"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5C490-B904-480F-A8E8-67D1A0B1102E}">
  <sheetPr>
    <tabColor rgb="FFFFFF00"/>
    <pageSetUpPr fitToPage="1"/>
  </sheetPr>
  <dimension ref="A1:AB45"/>
  <sheetViews>
    <sheetView zoomScaleNormal="100" workbookViewId="0">
      <selection activeCell="C5" sqref="C5"/>
    </sheetView>
  </sheetViews>
  <sheetFormatPr defaultColWidth="9" defaultRowHeight="18"/>
  <cols>
    <col min="1" max="1" width="56.5" style="167" bestFit="1" customWidth="1"/>
    <col min="2" max="4" width="9.19921875" style="167" customWidth="1"/>
    <col min="5" max="9" width="9.19921875" style="144" customWidth="1"/>
    <col min="10" max="12" width="9" style="144" customWidth="1"/>
    <col min="13" max="14" width="10" style="144" customWidth="1"/>
    <col min="15" max="15" width="7.19921875" style="144" customWidth="1"/>
    <col min="16" max="16" width="17.296875" style="144" bestFit="1" customWidth="1"/>
    <col min="17" max="21" width="10" style="144" customWidth="1"/>
    <col min="22" max="24" width="9" style="144" customWidth="1"/>
    <col min="25" max="16384" width="9" style="144"/>
  </cols>
  <sheetData>
    <row r="1" spans="1:27" ht="19.5" customHeight="1">
      <c r="A1" s="202" t="s">
        <v>183</v>
      </c>
      <c r="B1" s="199">
        <v>46023</v>
      </c>
      <c r="C1" s="202" t="s">
        <v>180</v>
      </c>
      <c r="D1" s="236"/>
      <c r="E1" s="167" t="s">
        <v>181</v>
      </c>
      <c r="O1" s="208"/>
    </row>
    <row r="2" spans="1:27" ht="19.5" customHeight="1">
      <c r="A2" s="202"/>
      <c r="B2" s="234"/>
      <c r="C2" s="235"/>
      <c r="D2" s="173"/>
      <c r="E2" s="176"/>
      <c r="O2" s="208"/>
    </row>
    <row r="3" spans="1:27" ht="19.5" customHeight="1">
      <c r="A3" s="194" t="s">
        <v>221</v>
      </c>
      <c r="B3" s="144"/>
      <c r="C3" s="144"/>
      <c r="D3" s="230"/>
      <c r="E3" s="173"/>
      <c r="F3" s="174"/>
      <c r="U3" s="225"/>
      <c r="V3" s="225"/>
      <c r="W3" s="225"/>
    </row>
    <row r="4" spans="1:27" ht="19.5" customHeight="1">
      <c r="A4" s="190" t="s">
        <v>217</v>
      </c>
      <c r="B4" s="317" t="s">
        <v>222</v>
      </c>
      <c r="C4" s="209" t="s">
        <v>245</v>
      </c>
      <c r="D4" s="256" t="s">
        <v>175</v>
      </c>
      <c r="E4" s="256" t="s">
        <v>204</v>
      </c>
      <c r="F4" s="232"/>
      <c r="G4" s="318" t="s">
        <v>223</v>
      </c>
      <c r="H4" s="209" t="s">
        <v>246</v>
      </c>
      <c r="I4" s="256" t="s">
        <v>175</v>
      </c>
      <c r="J4" s="256" t="s">
        <v>204</v>
      </c>
      <c r="L4" s="190"/>
      <c r="M4" s="237" t="s">
        <v>224</v>
      </c>
      <c r="N4" s="237" t="s">
        <v>225</v>
      </c>
    </row>
    <row r="5" spans="1:27" ht="19.5" customHeight="1">
      <c r="A5" s="190" t="s">
        <v>218</v>
      </c>
      <c r="B5" s="317"/>
      <c r="C5" s="197"/>
      <c r="D5" s="198">
        <v>1</v>
      </c>
      <c r="E5" s="217">
        <v>0</v>
      </c>
      <c r="F5" s="232"/>
      <c r="G5" s="319"/>
      <c r="H5" s="197"/>
      <c r="I5" s="198">
        <v>1</v>
      </c>
      <c r="J5" s="217">
        <v>0</v>
      </c>
      <c r="L5" s="192" t="s">
        <v>205</v>
      </c>
      <c r="M5" s="273">
        <f>SUMIF($E$5:$E$9,"0",$D$5:$D$9)</f>
        <v>1</v>
      </c>
      <c r="N5" s="273">
        <f>SUMIF($J$5:$J$9,"0",$I$5:$I$9)</f>
        <v>1</v>
      </c>
      <c r="P5" s="245"/>
      <c r="Q5" s="245"/>
    </row>
    <row r="6" spans="1:27" ht="19.5" customHeight="1">
      <c r="A6" s="190" t="s">
        <v>219</v>
      </c>
      <c r="B6" s="317"/>
      <c r="C6" s="197"/>
      <c r="D6" s="198"/>
      <c r="E6" s="217"/>
      <c r="F6" s="232"/>
      <c r="G6" s="319"/>
      <c r="H6" s="197"/>
      <c r="I6" s="198"/>
      <c r="J6" s="217"/>
      <c r="L6" s="192" t="s">
        <v>206</v>
      </c>
      <c r="M6" s="273">
        <f>SUMIF($E$5:$E$9,"1",$D$5:$D$9)</f>
        <v>0</v>
      </c>
      <c r="N6" s="273">
        <f>SUMIF($J$5:$J$9,"1",$I$5:$I$9)</f>
        <v>0</v>
      </c>
      <c r="P6" s="245"/>
      <c r="Q6" s="245"/>
    </row>
    <row r="7" spans="1:27" ht="19.5" customHeight="1">
      <c r="A7" s="190" t="s">
        <v>220</v>
      </c>
      <c r="B7" s="317"/>
      <c r="C7" s="197"/>
      <c r="D7" s="198"/>
      <c r="E7" s="217"/>
      <c r="F7" s="232"/>
      <c r="G7" s="319"/>
      <c r="H7" s="197"/>
      <c r="I7" s="198"/>
      <c r="J7" s="217"/>
      <c r="L7" s="192" t="s">
        <v>207</v>
      </c>
      <c r="M7" s="273">
        <f>SUMIF($E$5:$E$9,"2",$D$5:$D$9)</f>
        <v>0</v>
      </c>
      <c r="N7" s="273">
        <f>SUMIF($J$5:$J$9,"2",$I$5:$I$9)</f>
        <v>0</v>
      </c>
      <c r="P7" s="245"/>
      <c r="Q7" s="245"/>
    </row>
    <row r="8" spans="1:27" ht="19.5" customHeight="1">
      <c r="B8" s="317"/>
      <c r="C8" s="197"/>
      <c r="D8" s="198"/>
      <c r="E8" s="217"/>
      <c r="F8" s="232"/>
      <c r="G8" s="319"/>
      <c r="H8" s="197"/>
      <c r="I8" s="198"/>
      <c r="J8" s="217"/>
      <c r="L8" s="193" t="s">
        <v>226</v>
      </c>
      <c r="M8" s="273">
        <f>SUMIF($E$5:$E$9,"&gt;=3",$D$5:$D$9)</f>
        <v>0</v>
      </c>
      <c r="N8" s="273">
        <f>SUMIF($J$5:$J$9,"&gt;=3",$I$5:$I$9)</f>
        <v>0</v>
      </c>
      <c r="P8" s="245"/>
      <c r="Q8" s="245"/>
    </row>
    <row r="9" spans="1:27" ht="19.5" customHeight="1">
      <c r="B9" s="317"/>
      <c r="C9" s="197"/>
      <c r="D9" s="198"/>
      <c r="E9" s="217"/>
      <c r="F9" s="232"/>
      <c r="G9" s="320"/>
      <c r="H9" s="197"/>
      <c r="I9" s="198"/>
      <c r="J9" s="217"/>
      <c r="L9" s="193" t="s">
        <v>191</v>
      </c>
      <c r="M9" s="273">
        <f>SUM(M5:M8)</f>
        <v>1</v>
      </c>
      <c r="N9" s="273">
        <f>SUM(N5:N8)</f>
        <v>1</v>
      </c>
    </row>
    <row r="10" spans="1:27" ht="19.5" customHeight="1">
      <c r="B10" s="144"/>
      <c r="C10" s="144"/>
      <c r="D10" s="231"/>
      <c r="E10" s="210"/>
      <c r="F10" s="212"/>
      <c r="G10" s="212"/>
      <c r="H10" s="212"/>
      <c r="I10" s="212"/>
      <c r="J10" s="212"/>
      <c r="R10" s="212"/>
      <c r="S10" s="178"/>
      <c r="T10" s="174"/>
    </row>
    <row r="11" spans="1:27" ht="19.5" customHeight="1">
      <c r="B11" s="212"/>
      <c r="C11" s="212"/>
      <c r="D11" s="212"/>
      <c r="E11" s="212"/>
      <c r="F11" s="212"/>
      <c r="G11" s="212"/>
      <c r="H11" s="212"/>
      <c r="I11" s="212"/>
      <c r="J11" s="212"/>
      <c r="K11" s="212"/>
      <c r="O11" s="208"/>
    </row>
    <row r="12" spans="1:27" ht="19.5" customHeight="1">
      <c r="A12" s="202"/>
      <c r="B12" s="166"/>
      <c r="C12" s="306" t="s">
        <v>202</v>
      </c>
      <c r="D12" s="321"/>
      <c r="E12" s="321"/>
      <c r="F12" s="321"/>
      <c r="G12" s="307"/>
      <c r="H12" s="322" t="s">
        <v>203</v>
      </c>
      <c r="I12" s="322"/>
      <c r="J12" s="322"/>
      <c r="K12" s="322"/>
      <c r="L12" s="322"/>
      <c r="M12" s="322"/>
      <c r="R12" s="208"/>
    </row>
    <row r="13" spans="1:27" ht="19.5" customHeight="1">
      <c r="A13" s="194" t="s">
        <v>163</v>
      </c>
      <c r="B13" s="258"/>
      <c r="C13" s="228">
        <f>EDATE(D13,-1)</f>
        <v>45870</v>
      </c>
      <c r="D13" s="228">
        <f>EDATE(E13,-1)</f>
        <v>45901</v>
      </c>
      <c r="E13" s="228">
        <f>EDATE(F13,-1)</f>
        <v>45931</v>
      </c>
      <c r="F13" s="216">
        <f>EDATE(G13,-1)</f>
        <v>45962</v>
      </c>
      <c r="G13" s="216">
        <f>EDATE(H13,-1)</f>
        <v>45992</v>
      </c>
      <c r="H13" s="216">
        <f>B1</f>
        <v>46023</v>
      </c>
      <c r="I13" s="216">
        <f>EDATE(H13,1)</f>
        <v>46054</v>
      </c>
      <c r="J13" s="216">
        <f>EDATE(I13,1)</f>
        <v>46082</v>
      </c>
      <c r="K13" s="216">
        <f t="shared" ref="K13:M13" si="0">EDATE(J13,1)</f>
        <v>46113</v>
      </c>
      <c r="L13" s="216">
        <f t="shared" si="0"/>
        <v>46143</v>
      </c>
      <c r="M13" s="216">
        <f t="shared" si="0"/>
        <v>46174</v>
      </c>
      <c r="AA13" s="208"/>
    </row>
    <row r="14" spans="1:27" ht="19.5" customHeight="1">
      <c r="A14" s="255" t="s">
        <v>216</v>
      </c>
      <c r="B14" s="220" t="s">
        <v>189</v>
      </c>
      <c r="C14" s="276"/>
      <c r="D14" s="276"/>
      <c r="E14" s="276"/>
      <c r="F14" s="276"/>
      <c r="G14" s="276"/>
      <c r="H14" s="276"/>
      <c r="I14" s="276"/>
      <c r="J14" s="276"/>
      <c r="K14" s="276"/>
      <c r="L14" s="276"/>
      <c r="M14" s="276"/>
    </row>
    <row r="15" spans="1:27" ht="19.5" customHeight="1">
      <c r="A15" s="255" t="s">
        <v>177</v>
      </c>
      <c r="B15" s="220" t="s">
        <v>190</v>
      </c>
      <c r="C15" s="276"/>
      <c r="D15" s="276"/>
      <c r="E15" s="276"/>
      <c r="F15" s="276"/>
      <c r="G15" s="276"/>
      <c r="H15" s="276"/>
      <c r="I15" s="276"/>
      <c r="J15" s="276"/>
      <c r="K15" s="276"/>
      <c r="L15" s="276"/>
      <c r="M15" s="276"/>
    </row>
    <row r="16" spans="1:27" ht="19.5" customHeight="1">
      <c r="A16" s="255"/>
      <c r="B16" s="229"/>
      <c r="C16" s="229"/>
      <c r="D16" s="229"/>
      <c r="E16" s="229"/>
      <c r="F16" s="229"/>
      <c r="G16" s="229"/>
      <c r="H16" s="229"/>
      <c r="I16" s="229"/>
      <c r="J16" s="229"/>
      <c r="K16" s="229"/>
      <c r="M16" s="214"/>
      <c r="N16" s="215"/>
      <c r="O16" s="163"/>
      <c r="P16" s="163"/>
      <c r="Q16" s="163"/>
      <c r="R16" s="163"/>
      <c r="S16" s="163"/>
      <c r="T16" s="163"/>
      <c r="U16" s="163"/>
      <c r="V16" s="163"/>
      <c r="W16" s="163"/>
      <c r="X16" s="163"/>
      <c r="Y16" s="163"/>
      <c r="Z16" s="163"/>
    </row>
    <row r="17" spans="1:28" ht="19.5" customHeight="1">
      <c r="A17" s="255"/>
      <c r="B17" s="233"/>
      <c r="C17" s="225"/>
      <c r="D17" s="225"/>
      <c r="E17" s="225"/>
      <c r="F17" s="225"/>
      <c r="G17" s="225"/>
      <c r="H17" s="225"/>
      <c r="I17" s="225"/>
      <c r="J17" s="225"/>
      <c r="O17" s="214"/>
      <c r="P17" s="215"/>
      <c r="Q17" s="215"/>
      <c r="R17" s="215"/>
      <c r="S17" s="215"/>
      <c r="T17" s="215"/>
      <c r="U17" s="215"/>
      <c r="V17" s="215"/>
      <c r="W17" s="215"/>
      <c r="X17" s="215"/>
      <c r="Y17" s="215"/>
    </row>
    <row r="18" spans="1:28" ht="19.5" customHeight="1">
      <c r="A18" s="255"/>
      <c r="B18" s="170"/>
      <c r="C18" s="170"/>
      <c r="D18" s="226"/>
      <c r="E18" s="246" t="s">
        <v>212</v>
      </c>
      <c r="F18" s="213">
        <f>F13</f>
        <v>45962</v>
      </c>
      <c r="G18" s="213">
        <f>G13</f>
        <v>45992</v>
      </c>
      <c r="H18" s="213">
        <f>H13</f>
        <v>46023</v>
      </c>
      <c r="I18" s="213">
        <f>I13</f>
        <v>46054</v>
      </c>
      <c r="J18" s="213">
        <f t="shared" ref="J18:M18" si="1">J13</f>
        <v>46082</v>
      </c>
      <c r="K18" s="213">
        <f t="shared" si="1"/>
        <v>46113</v>
      </c>
      <c r="L18" s="213">
        <f t="shared" si="1"/>
        <v>46143</v>
      </c>
      <c r="M18" s="213">
        <f t="shared" si="1"/>
        <v>46174</v>
      </c>
      <c r="R18" s="163"/>
      <c r="S18" s="163"/>
      <c r="T18" s="163"/>
      <c r="U18" s="163"/>
      <c r="V18" s="163"/>
      <c r="W18" s="163"/>
      <c r="X18" s="163"/>
      <c r="Y18" s="163"/>
      <c r="Z18" s="163"/>
      <c r="AA18" s="163"/>
      <c r="AB18" s="163"/>
    </row>
    <row r="19" spans="1:28" ht="19.5" customHeight="1">
      <c r="A19" s="255"/>
      <c r="B19" s="170"/>
      <c r="C19" s="170"/>
      <c r="D19" s="227"/>
      <c r="E19" s="246" t="s">
        <v>214</v>
      </c>
      <c r="F19" s="274">
        <f t="shared" ref="F19:M19" si="2">ROUND(SUM(F14*$M$5,E14*$M$6,D14*$M$7,C14*$M$8),0)</f>
        <v>0</v>
      </c>
      <c r="G19" s="274">
        <f t="shared" si="2"/>
        <v>0</v>
      </c>
      <c r="H19" s="274">
        <f t="shared" si="2"/>
        <v>0</v>
      </c>
      <c r="I19" s="274">
        <f t="shared" si="2"/>
        <v>0</v>
      </c>
      <c r="J19" s="274">
        <f t="shared" si="2"/>
        <v>0</v>
      </c>
      <c r="K19" s="274">
        <f t="shared" si="2"/>
        <v>0</v>
      </c>
      <c r="L19" s="274">
        <f t="shared" si="2"/>
        <v>0</v>
      </c>
      <c r="M19" s="274">
        <f t="shared" si="2"/>
        <v>0</v>
      </c>
      <c r="P19" s="225"/>
      <c r="Q19" s="225"/>
      <c r="R19" s="225"/>
      <c r="S19" s="225"/>
      <c r="T19" s="225"/>
      <c r="U19" s="225"/>
      <c r="V19" s="225"/>
      <c r="W19" s="225"/>
      <c r="X19" s="225"/>
      <c r="Y19" s="225"/>
      <c r="Z19" s="225"/>
      <c r="AA19" s="163"/>
      <c r="AB19" s="163"/>
    </row>
    <row r="20" spans="1:28" ht="19.5" customHeight="1">
      <c r="A20" s="255"/>
      <c r="B20" s="170"/>
      <c r="C20" s="170"/>
      <c r="D20" s="227"/>
      <c r="E20" s="246" t="s">
        <v>213</v>
      </c>
      <c r="F20" s="213">
        <f t="shared" ref="F20:K20" si="3">F13</f>
        <v>45962</v>
      </c>
      <c r="G20" s="213">
        <f t="shared" si="3"/>
        <v>45992</v>
      </c>
      <c r="H20" s="213">
        <f t="shared" si="3"/>
        <v>46023</v>
      </c>
      <c r="I20" s="213">
        <f t="shared" si="3"/>
        <v>46054</v>
      </c>
      <c r="J20" s="213">
        <f t="shared" si="3"/>
        <v>46082</v>
      </c>
      <c r="K20" s="213">
        <f t="shared" si="3"/>
        <v>46113</v>
      </c>
      <c r="L20" s="213">
        <f>L13</f>
        <v>46143</v>
      </c>
      <c r="M20" s="213">
        <f>M13</f>
        <v>46174</v>
      </c>
      <c r="P20" s="225"/>
      <c r="S20" s="225"/>
      <c r="V20" s="225"/>
      <c r="W20" s="225"/>
      <c r="X20" s="225"/>
      <c r="Y20" s="225"/>
      <c r="Z20" s="225"/>
    </row>
    <row r="21" spans="1:28" ht="19.5" customHeight="1">
      <c r="A21" s="255"/>
      <c r="B21" s="170"/>
      <c r="C21" s="170"/>
      <c r="D21" s="259"/>
      <c r="E21" s="211" t="s">
        <v>215</v>
      </c>
      <c r="F21" s="275">
        <f t="shared" ref="F21:M21" si="4">ROUND(SUM(F15*$N$5,E15*$N$6,D15*$N$7,C15*$N$8),0)</f>
        <v>0</v>
      </c>
      <c r="G21" s="275">
        <f t="shared" si="4"/>
        <v>0</v>
      </c>
      <c r="H21" s="275">
        <f t="shared" si="4"/>
        <v>0</v>
      </c>
      <c r="I21" s="275">
        <f t="shared" si="4"/>
        <v>0</v>
      </c>
      <c r="J21" s="275">
        <f t="shared" si="4"/>
        <v>0</v>
      </c>
      <c r="K21" s="275">
        <f t="shared" si="4"/>
        <v>0</v>
      </c>
      <c r="L21" s="275">
        <f t="shared" si="4"/>
        <v>0</v>
      </c>
      <c r="M21" s="275">
        <f t="shared" si="4"/>
        <v>0</v>
      </c>
      <c r="P21" s="225"/>
      <c r="S21" s="225"/>
      <c r="V21" s="225"/>
      <c r="W21" s="225"/>
      <c r="X21" s="225"/>
      <c r="Y21" s="225"/>
      <c r="Z21" s="225"/>
    </row>
    <row r="22" spans="1:28" ht="19.5" customHeight="1">
      <c r="A22" s="255"/>
      <c r="B22" s="170"/>
      <c r="C22" s="170"/>
      <c r="D22" s="259"/>
      <c r="E22" s="247"/>
      <c r="F22" s="218"/>
      <c r="G22" s="218"/>
      <c r="H22" s="219"/>
      <c r="I22" s="219"/>
      <c r="J22" s="219"/>
      <c r="K22" s="219"/>
      <c r="L22" s="219"/>
      <c r="M22" s="219"/>
      <c r="N22" s="225"/>
      <c r="O22" s="225"/>
      <c r="P22" s="225"/>
      <c r="S22" s="225"/>
      <c r="V22" s="225"/>
      <c r="W22" s="225"/>
      <c r="X22" s="225"/>
      <c r="Y22" s="225"/>
      <c r="Z22" s="225"/>
    </row>
    <row r="23" spans="1:28" ht="19.5" customHeight="1">
      <c r="B23" s="144"/>
      <c r="C23" s="144"/>
      <c r="D23" s="169"/>
      <c r="E23" s="167"/>
      <c r="F23" s="179"/>
      <c r="G23" s="173"/>
      <c r="H23" s="174"/>
      <c r="I23" s="180"/>
      <c r="J23" s="174"/>
      <c r="K23" s="178"/>
      <c r="L23" s="178"/>
      <c r="M23" s="174"/>
      <c r="N23" s="178"/>
      <c r="O23" s="174"/>
      <c r="T23" s="183"/>
    </row>
    <row r="24" spans="1:28" ht="19.5" customHeight="1">
      <c r="A24" s="194" t="s">
        <v>171</v>
      </c>
      <c r="B24" s="194"/>
      <c r="C24" s="194"/>
      <c r="D24" s="169"/>
      <c r="E24" s="169"/>
      <c r="F24" s="203">
        <f>F13</f>
        <v>45962</v>
      </c>
      <c r="G24" s="203">
        <f t="shared" ref="G24:M24" si="5">G13</f>
        <v>45992</v>
      </c>
      <c r="H24" s="203">
        <f t="shared" si="5"/>
        <v>46023</v>
      </c>
      <c r="I24" s="203">
        <f>I13</f>
        <v>46054</v>
      </c>
      <c r="J24" s="203">
        <f t="shared" si="5"/>
        <v>46082</v>
      </c>
      <c r="K24" s="203">
        <f t="shared" si="5"/>
        <v>46113</v>
      </c>
      <c r="L24" s="203">
        <f t="shared" si="5"/>
        <v>46143</v>
      </c>
      <c r="M24" s="203">
        <f t="shared" si="5"/>
        <v>46174</v>
      </c>
      <c r="N24" s="178"/>
      <c r="O24" s="186"/>
      <c r="P24" s="183"/>
      <c r="Q24" s="187"/>
      <c r="R24" s="187"/>
      <c r="S24" s="188"/>
      <c r="T24" s="183"/>
    </row>
    <row r="25" spans="1:28" ht="19.5" customHeight="1">
      <c r="A25" s="167" t="s">
        <v>176</v>
      </c>
      <c r="B25" s="144"/>
      <c r="C25" s="144"/>
      <c r="D25" s="306" t="s">
        <v>148</v>
      </c>
      <c r="E25" s="307"/>
      <c r="F25" s="276"/>
      <c r="G25" s="276"/>
      <c r="H25" s="276"/>
      <c r="I25" s="276"/>
      <c r="J25" s="276"/>
      <c r="K25" s="276"/>
      <c r="L25" s="276"/>
      <c r="M25" s="276"/>
      <c r="N25" s="178"/>
      <c r="O25" s="241"/>
      <c r="P25" s="46"/>
      <c r="Q25" s="46"/>
      <c r="R25" s="46"/>
      <c r="S25" s="239"/>
      <c r="T25" s="188"/>
      <c r="U25" s="183"/>
    </row>
    <row r="26" spans="1:28" ht="19.5" customHeight="1">
      <c r="B26" s="144"/>
      <c r="C26" s="144"/>
      <c r="D26" s="165"/>
      <c r="E26" s="181"/>
      <c r="F26" s="182"/>
      <c r="G26" s="171"/>
      <c r="H26" s="172"/>
      <c r="I26" s="183"/>
      <c r="J26" s="183"/>
      <c r="M26" s="184"/>
      <c r="N26" s="185"/>
      <c r="O26" s="241" t="s">
        <v>170</v>
      </c>
      <c r="P26" s="241"/>
      <c r="Q26" s="242" t="s">
        <v>234</v>
      </c>
      <c r="R26" s="310" t="s">
        <v>198</v>
      </c>
      <c r="S26" s="311"/>
    </row>
    <row r="27" spans="1:28" ht="19.5" customHeight="1">
      <c r="A27" s="86" t="s">
        <v>165</v>
      </c>
      <c r="B27" s="86"/>
      <c r="C27" s="86"/>
      <c r="D27" s="169"/>
      <c r="E27" s="164"/>
      <c r="F27" s="312" t="s">
        <v>170</v>
      </c>
      <c r="G27" s="312"/>
      <c r="H27" s="312" t="s">
        <v>184</v>
      </c>
      <c r="I27" s="312"/>
      <c r="J27" s="312"/>
      <c r="K27" s="312"/>
      <c r="L27" s="312"/>
      <c r="M27" s="312"/>
      <c r="N27" s="240"/>
      <c r="O27" s="313" t="s">
        <v>235</v>
      </c>
      <c r="P27" s="303"/>
      <c r="Q27" s="282"/>
      <c r="R27" s="238" t="s">
        <v>197</v>
      </c>
      <c r="S27" s="283"/>
      <c r="T27"/>
      <c r="U27"/>
    </row>
    <row r="28" spans="1:28" ht="19.5" customHeight="1">
      <c r="A28" s="210" t="s">
        <v>178</v>
      </c>
      <c r="B28"/>
      <c r="C28"/>
      <c r="D28" s="169"/>
      <c r="E28" s="164"/>
      <c r="F28" s="203">
        <f>F13</f>
        <v>45962</v>
      </c>
      <c r="G28" s="203">
        <f t="shared" ref="G28:M28" si="6">G13</f>
        <v>45992</v>
      </c>
      <c r="H28" s="203">
        <f t="shared" si="6"/>
        <v>46023</v>
      </c>
      <c r="I28" s="203">
        <f t="shared" si="6"/>
        <v>46054</v>
      </c>
      <c r="J28" s="203">
        <f t="shared" si="6"/>
        <v>46082</v>
      </c>
      <c r="K28" s="203">
        <f t="shared" si="6"/>
        <v>46113</v>
      </c>
      <c r="L28" s="203">
        <f t="shared" si="6"/>
        <v>46143</v>
      </c>
      <c r="M28" s="203">
        <f t="shared" si="6"/>
        <v>46174</v>
      </c>
      <c r="N28" s="240"/>
      <c r="O28" s="252"/>
      <c r="P28" s="251" t="s">
        <v>227</v>
      </c>
      <c r="Q28" s="282"/>
      <c r="R28" s="238" t="s">
        <v>199</v>
      </c>
      <c r="S28" s="283"/>
      <c r="T28"/>
      <c r="U28"/>
    </row>
    <row r="29" spans="1:28" ht="19.5" customHeight="1">
      <c r="A29" s="210" t="s">
        <v>240</v>
      </c>
      <c r="B29"/>
      <c r="C29"/>
      <c r="D29" s="314" t="s">
        <v>235</v>
      </c>
      <c r="E29" s="257" t="s">
        <v>239</v>
      </c>
      <c r="F29" s="277">
        <f t="shared" ref="F29:M29" si="7">$Q$41</f>
        <v>0</v>
      </c>
      <c r="G29" s="277">
        <f t="shared" si="7"/>
        <v>0</v>
      </c>
      <c r="H29" s="277">
        <f t="shared" si="7"/>
        <v>0</v>
      </c>
      <c r="I29" s="277">
        <f t="shared" si="7"/>
        <v>0</v>
      </c>
      <c r="J29" s="277">
        <f t="shared" si="7"/>
        <v>0</v>
      </c>
      <c r="K29" s="277">
        <f t="shared" si="7"/>
        <v>0</v>
      </c>
      <c r="L29" s="277">
        <f t="shared" si="7"/>
        <v>0</v>
      </c>
      <c r="M29" s="277">
        <f t="shared" si="7"/>
        <v>0</v>
      </c>
      <c r="N29" s="240"/>
      <c r="O29" s="252"/>
      <c r="P29" s="251" t="s">
        <v>174</v>
      </c>
      <c r="Q29" s="282"/>
      <c r="R29" s="238" t="s">
        <v>200</v>
      </c>
      <c r="S29" s="283"/>
      <c r="T29"/>
      <c r="U29"/>
    </row>
    <row r="30" spans="1:28" ht="19.5" customHeight="1">
      <c r="A30" s="210" t="s">
        <v>237</v>
      </c>
      <c r="B30" s="207"/>
      <c r="C30" s="207"/>
      <c r="D30" s="315"/>
      <c r="E30" s="224" t="s">
        <v>77</v>
      </c>
      <c r="F30" s="278"/>
      <c r="G30" s="278"/>
      <c r="H30" s="278"/>
      <c r="I30" s="278"/>
      <c r="J30" s="278"/>
      <c r="K30" s="278"/>
      <c r="L30" s="278"/>
      <c r="M30" s="278"/>
      <c r="N30" s="240"/>
      <c r="O30" s="252"/>
      <c r="P30" s="251" t="s">
        <v>228</v>
      </c>
      <c r="Q30" s="282"/>
      <c r="R30" s="238" t="s">
        <v>201</v>
      </c>
      <c r="S30" s="269">
        <f>SUM(S27:S29)</f>
        <v>0</v>
      </c>
      <c r="T30"/>
      <c r="U30"/>
    </row>
    <row r="31" spans="1:28" ht="19.5" customHeight="1">
      <c r="A31" s="210" t="s">
        <v>233</v>
      </c>
      <c r="B31" s="207"/>
      <c r="C31" s="207"/>
      <c r="D31" s="315"/>
      <c r="E31" s="224" t="s">
        <v>236</v>
      </c>
      <c r="F31" s="279"/>
      <c r="G31" s="279"/>
      <c r="H31" s="279"/>
      <c r="I31" s="279"/>
      <c r="J31" s="279"/>
      <c r="K31" s="279"/>
      <c r="L31" s="279"/>
      <c r="M31" s="279"/>
      <c r="N31" s="240"/>
      <c r="O31" s="252"/>
      <c r="P31" s="251" t="s">
        <v>229</v>
      </c>
      <c r="Q31" s="282"/>
      <c r="R31" s="243"/>
      <c r="S31"/>
      <c r="T31"/>
      <c r="U31"/>
    </row>
    <row r="32" spans="1:28" ht="19.5" customHeight="1">
      <c r="A32" s="210" t="s">
        <v>244</v>
      </c>
      <c r="B32" s="207"/>
      <c r="C32" s="207"/>
      <c r="D32" s="316"/>
      <c r="E32" s="248" t="s">
        <v>227</v>
      </c>
      <c r="F32" s="280"/>
      <c r="G32" s="280"/>
      <c r="H32" s="280"/>
      <c r="I32" s="280"/>
      <c r="J32" s="280"/>
      <c r="K32" s="280"/>
      <c r="L32" s="280"/>
      <c r="M32" s="280"/>
      <c r="N32" s="240"/>
      <c r="O32" s="252"/>
      <c r="P32" s="251" t="s">
        <v>230</v>
      </c>
      <c r="Q32" s="282"/>
      <c r="R32" s="243"/>
      <c r="S32"/>
      <c r="T32"/>
      <c r="U32"/>
    </row>
    <row r="33" spans="1:21" ht="19.5" customHeight="1">
      <c r="A33" s="210" t="s">
        <v>243</v>
      </c>
      <c r="B33" s="207"/>
      <c r="C33" s="207"/>
      <c r="D33" s="304" t="s">
        <v>182</v>
      </c>
      <c r="E33" s="305"/>
      <c r="F33" s="280"/>
      <c r="G33" s="280"/>
      <c r="H33" s="280"/>
      <c r="I33" s="280"/>
      <c r="J33" s="280"/>
      <c r="K33" s="280"/>
      <c r="L33" s="280"/>
      <c r="M33" s="280"/>
      <c r="N33" s="240"/>
      <c r="O33" s="252"/>
      <c r="P33" s="251" t="s">
        <v>231</v>
      </c>
      <c r="Q33" s="282"/>
      <c r="R33"/>
      <c r="S33"/>
      <c r="T33"/>
      <c r="U33"/>
    </row>
    <row r="34" spans="1:21" ht="19.5" customHeight="1">
      <c r="A34" s="194"/>
      <c r="B34" s="194"/>
      <c r="C34" s="194"/>
      <c r="D34" s="168"/>
      <c r="E34" s="167"/>
      <c r="F34" s="182"/>
      <c r="G34" s="167"/>
      <c r="H34" s="177"/>
      <c r="I34" s="177"/>
      <c r="J34" s="177"/>
      <c r="K34" s="177"/>
      <c r="L34" s="177"/>
      <c r="M34" s="177"/>
      <c r="N34" s="240"/>
      <c r="O34" s="252"/>
      <c r="P34" s="251" t="s">
        <v>192</v>
      </c>
      <c r="Q34" s="282"/>
      <c r="R34"/>
      <c r="S34"/>
      <c r="T34"/>
      <c r="U34"/>
    </row>
    <row r="35" spans="1:21" ht="19.5" customHeight="1">
      <c r="A35" s="194" t="s">
        <v>164</v>
      </c>
      <c r="B35" s="194"/>
      <c r="C35" s="194"/>
      <c r="D35" s="144"/>
      <c r="E35" s="167"/>
      <c r="F35" s="203">
        <f>F13</f>
        <v>45962</v>
      </c>
      <c r="G35" s="203">
        <f t="shared" ref="G35:M35" si="8">G13</f>
        <v>45992</v>
      </c>
      <c r="H35" s="203">
        <f t="shared" si="8"/>
        <v>46023</v>
      </c>
      <c r="I35" s="203">
        <f t="shared" si="8"/>
        <v>46054</v>
      </c>
      <c r="J35" s="203">
        <f t="shared" si="8"/>
        <v>46082</v>
      </c>
      <c r="K35" s="203">
        <f t="shared" si="8"/>
        <v>46113</v>
      </c>
      <c r="L35" s="203">
        <f t="shared" si="8"/>
        <v>46143</v>
      </c>
      <c r="M35" s="203">
        <f t="shared" si="8"/>
        <v>46174</v>
      </c>
      <c r="N35" s="240"/>
      <c r="O35" s="252"/>
      <c r="P35" s="251" t="s">
        <v>232</v>
      </c>
      <c r="Q35" s="282"/>
      <c r="R35"/>
      <c r="S35"/>
      <c r="T35"/>
      <c r="U35"/>
    </row>
    <row r="36" spans="1:21" ht="19.5" customHeight="1">
      <c r="A36" s="190" t="s">
        <v>193</v>
      </c>
      <c r="B36" s="190"/>
      <c r="C36" s="190"/>
      <c r="D36" s="306" t="s">
        <v>196</v>
      </c>
      <c r="E36" s="307"/>
      <c r="F36" s="276"/>
      <c r="G36" s="276"/>
      <c r="H36" s="276"/>
      <c r="I36" s="276"/>
      <c r="J36" s="276"/>
      <c r="K36" s="276"/>
      <c r="L36" s="276"/>
      <c r="M36" s="276"/>
      <c r="N36" s="240"/>
      <c r="O36" s="253"/>
      <c r="P36" s="251" t="s">
        <v>209</v>
      </c>
      <c r="Q36" s="274">
        <f>Q27-SUM(Q28:Q35)</f>
        <v>0</v>
      </c>
      <c r="R36"/>
      <c r="S36"/>
      <c r="T36"/>
      <c r="U36"/>
    </row>
    <row r="37" spans="1:21" ht="19.5" customHeight="1">
      <c r="A37" s="206" t="s">
        <v>188</v>
      </c>
      <c r="B37" s="206"/>
      <c r="C37" s="206"/>
      <c r="D37" s="304" t="s">
        <v>195</v>
      </c>
      <c r="E37" s="305"/>
      <c r="F37" s="276"/>
      <c r="G37" s="276"/>
      <c r="H37" s="276"/>
      <c r="I37" s="276"/>
      <c r="J37" s="276"/>
      <c r="K37" s="276"/>
      <c r="L37" s="276"/>
      <c r="M37" s="276"/>
      <c r="N37" s="240"/>
      <c r="O37" s="249"/>
      <c r="P37" s="249"/>
      <c r="Q37" s="250"/>
      <c r="R37"/>
      <c r="S37"/>
      <c r="T37"/>
      <c r="U37"/>
    </row>
    <row r="38" spans="1:21" ht="19.5" customHeight="1">
      <c r="A38" s="190" t="s">
        <v>194</v>
      </c>
      <c r="B38" s="190"/>
      <c r="C38" s="190"/>
      <c r="D38" s="308" t="s">
        <v>146</v>
      </c>
      <c r="E38" s="309"/>
      <c r="F38" s="276"/>
      <c r="G38" s="276"/>
      <c r="H38" s="276"/>
      <c r="I38" s="276"/>
      <c r="J38" s="276"/>
      <c r="K38" s="276"/>
      <c r="L38" s="276"/>
      <c r="M38" s="276"/>
      <c r="N38" s="240"/>
      <c r="O38" s="302" t="s">
        <v>208</v>
      </c>
      <c r="P38" s="303"/>
      <c r="Q38" s="244">
        <v>12</v>
      </c>
      <c r="R38"/>
      <c r="S38"/>
      <c r="T38"/>
      <c r="U38"/>
    </row>
    <row r="39" spans="1:21" ht="19.5" customHeight="1">
      <c r="A39" s="194"/>
      <c r="B39" s="194"/>
      <c r="C39" s="194"/>
      <c r="D39" s="175"/>
      <c r="E39" s="167"/>
      <c r="F39" s="182"/>
      <c r="G39" s="167"/>
      <c r="I39" s="189"/>
      <c r="J39" s="183"/>
      <c r="N39" s="240"/>
      <c r="O39" s="302" t="s">
        <v>210</v>
      </c>
      <c r="P39" s="303"/>
      <c r="Q39" s="270">
        <f>ROUND(Q36/Q38,0)</f>
        <v>0</v>
      </c>
      <c r="R39"/>
      <c r="S39"/>
      <c r="T39"/>
      <c r="U39"/>
    </row>
    <row r="40" spans="1:21" ht="19.5" customHeight="1">
      <c r="A40" s="194" t="s">
        <v>162</v>
      </c>
      <c r="B40" s="194"/>
      <c r="C40" s="194"/>
      <c r="D40" s="144"/>
      <c r="E40" s="167"/>
      <c r="F40" s="191"/>
      <c r="G40" s="167"/>
      <c r="N40" s="240"/>
      <c r="O40" s="302" t="s">
        <v>201</v>
      </c>
      <c r="P40" s="303"/>
      <c r="Q40" s="271">
        <f>S30</f>
        <v>0</v>
      </c>
      <c r="R40"/>
      <c r="S40"/>
      <c r="T40"/>
      <c r="U40"/>
    </row>
    <row r="41" spans="1:21" ht="19.5" customHeight="1">
      <c r="A41" s="206" t="s">
        <v>187</v>
      </c>
      <c r="B41" s="206"/>
      <c r="C41" s="206"/>
      <c r="D41" s="204">
        <f>資金繰り予定表!$D$7</f>
        <v>45992</v>
      </c>
      <c r="E41" s="205" t="s">
        <v>185</v>
      </c>
      <c r="F41" s="281"/>
      <c r="G41" s="167" t="s">
        <v>45</v>
      </c>
      <c r="N41" s="240"/>
      <c r="O41" s="302" t="s">
        <v>211</v>
      </c>
      <c r="P41" s="303"/>
      <c r="Q41" s="272">
        <f>Q39+Q40</f>
        <v>0</v>
      </c>
      <c r="R41"/>
      <c r="S41"/>
      <c r="T41"/>
      <c r="U41"/>
    </row>
    <row r="42" spans="1:21" ht="19.5" customHeight="1">
      <c r="K42"/>
      <c r="L42" s="239"/>
      <c r="M42"/>
      <c r="N42" s="240"/>
      <c r="O42"/>
      <c r="P42"/>
      <c r="Q42"/>
      <c r="R42"/>
      <c r="T42"/>
      <c r="U42"/>
    </row>
    <row r="43" spans="1:21" ht="19.5" customHeight="1">
      <c r="K43"/>
      <c r="L43" s="239"/>
      <c r="M43" s="46"/>
      <c r="N43"/>
      <c r="O43"/>
      <c r="P43"/>
      <c r="Q43"/>
      <c r="R43"/>
    </row>
    <row r="44" spans="1:21" ht="19.5" customHeight="1">
      <c r="K44"/>
      <c r="L44" s="239"/>
      <c r="M44" s="46"/>
      <c r="N44"/>
      <c r="Q44"/>
      <c r="R44"/>
    </row>
    <row r="45" spans="1:21">
      <c r="K45"/>
      <c r="N45"/>
      <c r="Q45"/>
      <c r="R45"/>
    </row>
  </sheetData>
  <mergeCells count="18">
    <mergeCell ref="D29:D32"/>
    <mergeCell ref="B4:B9"/>
    <mergeCell ref="G4:G9"/>
    <mergeCell ref="C12:G12"/>
    <mergeCell ref="H12:M12"/>
    <mergeCell ref="D25:E25"/>
    <mergeCell ref="R26:S26"/>
    <mergeCell ref="F27:G27"/>
    <mergeCell ref="H27:M27"/>
    <mergeCell ref="O27:P27"/>
    <mergeCell ref="O39:P39"/>
    <mergeCell ref="O40:P40"/>
    <mergeCell ref="O41:P41"/>
    <mergeCell ref="D33:E33"/>
    <mergeCell ref="D36:E36"/>
    <mergeCell ref="D37:E37"/>
    <mergeCell ref="D38:E38"/>
    <mergeCell ref="O38:P38"/>
  </mergeCells>
  <phoneticPr fontId="3"/>
  <conditionalFormatting sqref="E15">
    <cfRule type="expression" dxfId="7" priority="5">
      <formula>AND($N$6=0,$N$7=0,$N$8=0)</formula>
    </cfRule>
  </conditionalFormatting>
  <conditionalFormatting sqref="D15">
    <cfRule type="expression" dxfId="6" priority="6">
      <formula>AND($N$7=0,$N$8=0)</formula>
    </cfRule>
  </conditionalFormatting>
  <conditionalFormatting sqref="C15">
    <cfRule type="expression" dxfId="5" priority="1">
      <formula>($N$8=0)</formula>
    </cfRule>
  </conditionalFormatting>
  <conditionalFormatting sqref="E14">
    <cfRule type="expression" dxfId="4" priority="13">
      <formula>AND($M$6=0,$M$7=0,$M$8=0)</formula>
    </cfRule>
  </conditionalFormatting>
  <conditionalFormatting sqref="D14">
    <cfRule type="expression" dxfId="3" priority="14">
      <formula>AND($M$7=0,$M$8=0)</formula>
    </cfRule>
  </conditionalFormatting>
  <conditionalFormatting sqref="C14">
    <cfRule type="expression" dxfId="2" priority="15">
      <formula>($M$8=0)</formula>
    </cfRule>
  </conditionalFormatting>
  <dataValidations count="1">
    <dataValidation type="list" allowBlank="1" showInputMessage="1" showErrorMessage="1" sqref="Q38" xr:uid="{E3958ED9-CC7F-4345-A620-2FD21EBE3D96}">
      <formula1>"1,2,3,4,5,6,7,8,9,10,11,12"</formula1>
    </dataValidation>
  </dataValidations>
  <pageMargins left="0.7" right="0.7" top="0.75" bottom="0.75" header="0.3" footer="0.3"/>
  <pageSetup paperSize="8" scale="72"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8849-F978-4917-942A-EFCF879D381B}">
  <sheetPr codeName="Sheet13">
    <pageSetUpPr fitToPage="1"/>
  </sheetPr>
  <dimension ref="B1:S36"/>
  <sheetViews>
    <sheetView workbookViewId="0"/>
  </sheetViews>
  <sheetFormatPr defaultRowHeight="18"/>
  <cols>
    <col min="1" max="1" width="5.19921875" customWidth="1"/>
    <col min="2" max="2" width="17.59765625" style="49" customWidth="1"/>
    <col min="3" max="4" width="11.09765625" style="49" customWidth="1"/>
    <col min="5" max="5" width="11.09765625" customWidth="1"/>
    <col min="6" max="9" width="9.3984375" bestFit="1" customWidth="1"/>
    <col min="11" max="11" width="6.8984375" customWidth="1"/>
    <col min="12" max="12" width="17.59765625" style="49" customWidth="1"/>
    <col min="13" max="13" width="9.3984375" bestFit="1" customWidth="1"/>
    <col min="14" max="14" width="10" bestFit="1" customWidth="1"/>
    <col min="15" max="18" width="9.3984375" bestFit="1" customWidth="1"/>
  </cols>
  <sheetData>
    <row r="1" spans="2:19" ht="29.4" thickBot="1">
      <c r="E1" s="286" t="s">
        <v>95</v>
      </c>
      <c r="F1" s="286"/>
      <c r="G1" s="286"/>
      <c r="H1" s="286"/>
      <c r="I1" s="286"/>
      <c r="J1" s="286"/>
      <c r="K1" s="286"/>
      <c r="L1" s="286"/>
      <c r="M1" s="286"/>
      <c r="N1" s="286"/>
      <c r="O1" s="286"/>
      <c r="P1" s="286"/>
      <c r="Q1" s="50" t="s">
        <v>71</v>
      </c>
      <c r="R1" s="51">
        <v>0.6</v>
      </c>
    </row>
    <row r="2" spans="2:19" s="53" customFormat="1">
      <c r="B2" s="52"/>
      <c r="C2" s="52"/>
      <c r="D2" s="52"/>
      <c r="Q2" s="52"/>
      <c r="R2" s="54"/>
    </row>
    <row r="3" spans="2:19">
      <c r="B3"/>
      <c r="C3"/>
      <c r="D3"/>
      <c r="E3" s="55"/>
      <c r="F3" s="55"/>
      <c r="G3" s="56"/>
      <c r="H3" s="55"/>
      <c r="I3" s="55"/>
      <c r="J3" s="55"/>
      <c r="K3" s="55"/>
      <c r="L3" s="55"/>
      <c r="M3" s="55"/>
      <c r="N3" s="55"/>
      <c r="O3" s="56"/>
      <c r="S3" s="49"/>
    </row>
    <row r="4" spans="2:19" s="59" customFormat="1" ht="22.5" customHeight="1">
      <c r="B4" s="287" t="s">
        <v>72</v>
      </c>
      <c r="C4" s="287"/>
      <c r="D4" s="287"/>
      <c r="E4" s="288"/>
      <c r="F4" s="288"/>
      <c r="G4" s="288"/>
      <c r="H4" s="57"/>
      <c r="I4" s="58"/>
      <c r="J4" s="58"/>
      <c r="K4" s="58"/>
      <c r="L4" s="289" t="s">
        <v>73</v>
      </c>
      <c r="M4" s="289"/>
      <c r="N4" s="289"/>
      <c r="O4" s="289"/>
    </row>
    <row r="5" spans="2:19" s="59" customFormat="1" ht="22.5" customHeight="1">
      <c r="B5" s="60"/>
      <c r="C5" s="61">
        <f ca="1">D5-30</f>
        <v>45998.601330787038</v>
      </c>
      <c r="D5" s="61">
        <f ca="1">E5-30</f>
        <v>46028.601330787038</v>
      </c>
      <c r="E5" s="61">
        <f ca="1">NOW()+30</f>
        <v>46058.601330787038</v>
      </c>
      <c r="F5" s="61">
        <f ca="1">E5+30</f>
        <v>46088.601330787038</v>
      </c>
      <c r="G5" s="61">
        <f ca="1">F5+30</f>
        <v>46118.601330787038</v>
      </c>
      <c r="H5" s="61">
        <f ca="1">G5+30</f>
        <v>46148.601330787038</v>
      </c>
      <c r="I5" s="61">
        <f ca="1">H5+30</f>
        <v>46178.601330787038</v>
      </c>
      <c r="J5" s="84">
        <f ca="1">I5+30</f>
        <v>46208.601330787038</v>
      </c>
      <c r="L5" s="62"/>
      <c r="M5" s="61">
        <f t="shared" ref="M5:R5" ca="1" si="0">E5</f>
        <v>46058.601330787038</v>
      </c>
      <c r="N5" s="61">
        <f t="shared" ca="1" si="0"/>
        <v>46088.601330787038</v>
      </c>
      <c r="O5" s="61">
        <f t="shared" ca="1" si="0"/>
        <v>46118.601330787038</v>
      </c>
      <c r="P5" s="61">
        <f t="shared" ca="1" si="0"/>
        <v>46148.601330787038</v>
      </c>
      <c r="Q5" s="61">
        <f t="shared" ca="1" si="0"/>
        <v>46178.601330787038</v>
      </c>
      <c r="R5" s="84">
        <f t="shared" ca="1" si="0"/>
        <v>46208.601330787038</v>
      </c>
    </row>
    <row r="6" spans="2:19" s="59" customFormat="1" ht="22.5" customHeight="1">
      <c r="B6" s="63" t="s">
        <v>74</v>
      </c>
      <c r="C6" s="64" t="e">
        <f>#REF!</f>
        <v>#REF!</v>
      </c>
      <c r="D6" s="64" t="e">
        <f t="shared" ref="D6:J6" si="1">C28</f>
        <v>#REF!</v>
      </c>
      <c r="E6" s="64" t="e">
        <f t="shared" si="1"/>
        <v>#REF!</v>
      </c>
      <c r="F6" s="64" t="e">
        <f t="shared" si="1"/>
        <v>#REF!</v>
      </c>
      <c r="G6" s="64" t="e">
        <f t="shared" si="1"/>
        <v>#REF!</v>
      </c>
      <c r="H6" s="64" t="e">
        <f t="shared" si="1"/>
        <v>#REF!</v>
      </c>
      <c r="I6" s="64" t="e">
        <f t="shared" si="1"/>
        <v>#REF!</v>
      </c>
      <c r="J6" s="64" t="e">
        <f t="shared" si="1"/>
        <v>#REF!</v>
      </c>
      <c r="K6" s="58"/>
      <c r="L6" s="65" t="str">
        <f>B6</f>
        <v>月初現金残高</v>
      </c>
      <c r="M6" s="64" t="e">
        <f>E6</f>
        <v>#REF!</v>
      </c>
      <c r="N6" s="64" t="e">
        <f>M28</f>
        <v>#REF!</v>
      </c>
      <c r="O6" s="64" t="e">
        <f>N28</f>
        <v>#REF!</v>
      </c>
      <c r="P6" s="66" t="e">
        <f>O28</f>
        <v>#REF!</v>
      </c>
      <c r="Q6" s="66" t="e">
        <f>P28</f>
        <v>#REF!</v>
      </c>
      <c r="R6" s="66" t="e">
        <f>Q28</f>
        <v>#REF!</v>
      </c>
    </row>
    <row r="7" spans="2:19" s="59" customFormat="1" ht="22.5" customHeight="1">
      <c r="B7" s="67"/>
      <c r="C7" s="67"/>
      <c r="D7" s="67"/>
      <c r="E7" s="58"/>
      <c r="F7" s="58"/>
      <c r="G7" s="58"/>
      <c r="H7" s="57"/>
      <c r="I7" s="58"/>
      <c r="J7" s="58"/>
      <c r="K7" s="58"/>
      <c r="L7" s="68"/>
      <c r="M7" s="58"/>
      <c r="N7" s="58"/>
      <c r="O7" s="58"/>
    </row>
    <row r="8" spans="2:19" s="59" customFormat="1" ht="22.5" customHeight="1">
      <c r="B8" s="62"/>
      <c r="C8" s="61">
        <f ca="1">D8-30</f>
        <v>45998.601330787038</v>
      </c>
      <c r="D8" s="61">
        <f ca="1">E8-30</f>
        <v>46028.601330787038</v>
      </c>
      <c r="E8" s="61">
        <f ca="1">NOW()+30</f>
        <v>46058.601330787038</v>
      </c>
      <c r="F8" s="61">
        <f ca="1">E8+30</f>
        <v>46088.601330787038</v>
      </c>
      <c r="G8" s="61">
        <f ca="1">F8+30</f>
        <v>46118.601330787038</v>
      </c>
      <c r="H8" s="61">
        <f ca="1">G8+30</f>
        <v>46148.601330787038</v>
      </c>
      <c r="I8" s="61">
        <f ca="1">H8+30</f>
        <v>46178.601330787038</v>
      </c>
      <c r="J8" s="84">
        <f ca="1">I8+30</f>
        <v>46208.601330787038</v>
      </c>
      <c r="L8" s="62"/>
      <c r="M8" s="61">
        <f t="shared" ref="M8:R8" ca="1" si="2">E8</f>
        <v>46058.601330787038</v>
      </c>
      <c r="N8" s="61">
        <f t="shared" ca="1" si="2"/>
        <v>46088.601330787038</v>
      </c>
      <c r="O8" s="61">
        <f t="shared" ca="1" si="2"/>
        <v>46118.601330787038</v>
      </c>
      <c r="P8" s="61">
        <f t="shared" ca="1" si="2"/>
        <v>46148.601330787038</v>
      </c>
      <c r="Q8" s="61">
        <f t="shared" ca="1" si="2"/>
        <v>46178.601330787038</v>
      </c>
      <c r="R8" s="84">
        <f t="shared" ca="1" si="2"/>
        <v>46208.601330787038</v>
      </c>
    </row>
    <row r="9" spans="2:19" s="59" customFormat="1" ht="22.5" customHeight="1">
      <c r="B9" s="63" t="s">
        <v>46</v>
      </c>
      <c r="C9" s="108" t="e">
        <f>#REF!</f>
        <v>#REF!</v>
      </c>
      <c r="D9" s="108" t="e">
        <f>#REF!</f>
        <v>#REF!</v>
      </c>
      <c r="E9" s="69" t="e">
        <f>#REF!</f>
        <v>#REF!</v>
      </c>
      <c r="F9" s="69" t="e">
        <f>#REF!</f>
        <v>#REF!</v>
      </c>
      <c r="G9" s="69" t="e">
        <f>#REF!</f>
        <v>#REF!</v>
      </c>
      <c r="H9" s="69" t="e">
        <f>#REF!</f>
        <v>#REF!</v>
      </c>
      <c r="I9" s="69" t="e">
        <f>#REF!</f>
        <v>#REF!</v>
      </c>
      <c r="J9" s="69" t="e">
        <f>#REF!</f>
        <v>#REF!</v>
      </c>
      <c r="L9" s="63" t="str">
        <f>B9</f>
        <v>売上</v>
      </c>
      <c r="M9" s="69" t="e">
        <f t="shared" ref="M9:R9" si="3">E9*$R$1</f>
        <v>#REF!</v>
      </c>
      <c r="N9" s="69" t="e">
        <f>F9*$R$1</f>
        <v>#REF!</v>
      </c>
      <c r="O9" s="69" t="e">
        <f t="shared" si="3"/>
        <v>#REF!</v>
      </c>
      <c r="P9" s="69" t="e">
        <f t="shared" si="3"/>
        <v>#REF!</v>
      </c>
      <c r="Q9" s="69" t="e">
        <f t="shared" si="3"/>
        <v>#REF!</v>
      </c>
      <c r="R9" s="69" t="e">
        <f t="shared" si="3"/>
        <v>#REF!</v>
      </c>
    </row>
    <row r="10" spans="2:19" s="59" customFormat="1" ht="22.5" customHeight="1">
      <c r="B10" s="63" t="s">
        <v>148</v>
      </c>
      <c r="C10" s="108"/>
      <c r="D10" s="108"/>
      <c r="E10" s="69"/>
      <c r="F10" s="69"/>
      <c r="G10" s="69"/>
      <c r="H10" s="69"/>
      <c r="I10" s="69"/>
      <c r="J10" s="69"/>
      <c r="L10" s="63" t="str">
        <f>B10</f>
        <v>その他収入</v>
      </c>
      <c r="M10" s="69">
        <f t="shared" ref="M10:R10" si="4">C10</f>
        <v>0</v>
      </c>
      <c r="N10" s="69">
        <f t="shared" si="4"/>
        <v>0</v>
      </c>
      <c r="O10" s="69">
        <f t="shared" si="4"/>
        <v>0</v>
      </c>
      <c r="P10" s="69">
        <f t="shared" si="4"/>
        <v>0</v>
      </c>
      <c r="Q10" s="69">
        <f t="shared" si="4"/>
        <v>0</v>
      </c>
      <c r="R10" s="69">
        <f t="shared" si="4"/>
        <v>0</v>
      </c>
    </row>
    <row r="11" spans="2:19" s="59" customFormat="1" ht="22.5" customHeight="1">
      <c r="B11" s="70" t="s">
        <v>149</v>
      </c>
      <c r="C11" s="109" t="e">
        <f>C10+#REF!</f>
        <v>#REF!</v>
      </c>
      <c r="D11" s="109" t="e">
        <f>D10+#REF!</f>
        <v>#REF!</v>
      </c>
      <c r="E11" s="71" t="e">
        <f>E10+#REF!+E9*#REF!</f>
        <v>#REF!</v>
      </c>
      <c r="F11" s="71" t="e">
        <f>F10+#REF!+E9*#REF!+F9*#REF!</f>
        <v>#REF!</v>
      </c>
      <c r="G11" s="71" t="e">
        <f>G10+#REF!+E9*#REF!+F9*#REF!+G9*#REF!</f>
        <v>#REF!</v>
      </c>
      <c r="H11" s="71" t="e">
        <f>H10+#REF!+E9*#REF!+F9*#REF!+G9*#REF!+H9*#REF!</f>
        <v>#REF!</v>
      </c>
      <c r="I11" s="71" t="e">
        <f>I10+#REF!+E9*#REF!+F9*#REF!+G9*#REF!+H9*#REF!+I9*#REF!</f>
        <v>#REF!</v>
      </c>
      <c r="J11" s="71" t="e">
        <f>J10+#REF!+E9*#REF!+F9*#REF!+G9*#REF!+H9*#REF!+I9*#REF!+J9*#REF!</f>
        <v>#REF!</v>
      </c>
      <c r="L11" s="70" t="str">
        <f>B11</f>
        <v>経常収入</v>
      </c>
      <c r="M11" s="71" t="e">
        <f>M10+#REF!+$R$1*(E9*#REF!)</f>
        <v>#REF!</v>
      </c>
      <c r="N11" s="71" t="e">
        <f>N10+#REF!+$R$1*(E9*#REF!+F9*#REF!)</f>
        <v>#REF!</v>
      </c>
      <c r="O11" s="71" t="e">
        <f>O10+#REF!+$R$1*(E9*#REF!+F9*#REF!+G9*#REF!)</f>
        <v>#REF!</v>
      </c>
      <c r="P11" s="71" t="e">
        <f>P10+#REF!+$R$1*(E9*#REF!+F9*#REF!+G9*#REF!+H9*#REF!)</f>
        <v>#REF!</v>
      </c>
      <c r="Q11" s="71" t="e">
        <f>Q10+#REF!+$R$1*(E9*#REF!+F9*#REF!+G9*#REF!+H9*#REF!+I9*#REF!)</f>
        <v>#REF!</v>
      </c>
      <c r="R11" s="71" t="e">
        <f>R10+#REF!+$R$1*(E9*#REF!+F9*#REF!+G9*#REF!+H9*#REF!+I9*#REF!+J9*#REF!)</f>
        <v>#REF!</v>
      </c>
    </row>
    <row r="12" spans="2:19" s="59" customFormat="1" ht="22.5" customHeight="1">
      <c r="B12" s="67"/>
      <c r="C12" s="67"/>
      <c r="D12" s="67"/>
      <c r="E12" s="72"/>
      <c r="F12" s="72"/>
      <c r="G12" s="72"/>
      <c r="H12" s="72"/>
      <c r="I12" s="72"/>
      <c r="J12" s="72"/>
      <c r="L12" s="67"/>
    </row>
    <row r="13" spans="2:19" s="59" customFormat="1" ht="22.5" customHeight="1">
      <c r="B13" s="62"/>
      <c r="C13" s="61">
        <f ca="1">D13-30</f>
        <v>45998.601330787038</v>
      </c>
      <c r="D13" s="61">
        <f ca="1">E13-30</f>
        <v>46028.601330787038</v>
      </c>
      <c r="E13" s="61">
        <f t="shared" ref="E13:J13" ca="1" si="5">E8</f>
        <v>46058.601330787038</v>
      </c>
      <c r="F13" s="61">
        <f t="shared" ca="1" si="5"/>
        <v>46088.601330787038</v>
      </c>
      <c r="G13" s="61">
        <f t="shared" ca="1" si="5"/>
        <v>46118.601330787038</v>
      </c>
      <c r="H13" s="61">
        <f t="shared" ca="1" si="5"/>
        <v>46148.601330787038</v>
      </c>
      <c r="I13" s="61">
        <f t="shared" ca="1" si="5"/>
        <v>46178.601330787038</v>
      </c>
      <c r="J13" s="84">
        <f t="shared" ca="1" si="5"/>
        <v>46208.601330787038</v>
      </c>
      <c r="L13" s="62"/>
      <c r="M13" s="61">
        <f t="shared" ref="M13:R13" ca="1" si="6">E13</f>
        <v>46058.601330787038</v>
      </c>
      <c r="N13" s="61">
        <f t="shared" ca="1" si="6"/>
        <v>46088.601330787038</v>
      </c>
      <c r="O13" s="61">
        <f t="shared" ca="1" si="6"/>
        <v>46118.601330787038</v>
      </c>
      <c r="P13" s="61">
        <f t="shared" ca="1" si="6"/>
        <v>46148.601330787038</v>
      </c>
      <c r="Q13" s="61">
        <f t="shared" ca="1" si="6"/>
        <v>46178.601330787038</v>
      </c>
      <c r="R13" s="84">
        <f t="shared" ca="1" si="6"/>
        <v>46208.601330787038</v>
      </c>
    </row>
    <row r="14" spans="2:19" s="59" customFormat="1" ht="22.5" customHeight="1">
      <c r="B14" s="63" t="s">
        <v>53</v>
      </c>
      <c r="C14" s="108" t="e">
        <f>#REF!</f>
        <v>#REF!</v>
      </c>
      <c r="D14" s="108" t="e">
        <f>#REF!</f>
        <v>#REF!</v>
      </c>
      <c r="E14" s="69" t="e">
        <f>#REF!</f>
        <v>#REF!</v>
      </c>
      <c r="F14" s="69" t="e">
        <f>#REF!</f>
        <v>#REF!</v>
      </c>
      <c r="G14" s="69" t="e">
        <f>#REF!</f>
        <v>#REF!</v>
      </c>
      <c r="H14" s="69" t="e">
        <f>#REF!</f>
        <v>#REF!</v>
      </c>
      <c r="I14" s="69" t="e">
        <f>#REF!</f>
        <v>#REF!</v>
      </c>
      <c r="J14" s="69" t="e">
        <f>#REF!</f>
        <v>#REF!</v>
      </c>
      <c r="L14" s="63" t="str">
        <f>B14</f>
        <v>仕入</v>
      </c>
      <c r="M14" s="73" t="e">
        <f t="shared" ref="M14:R14" si="7">E14*$R$1</f>
        <v>#REF!</v>
      </c>
      <c r="N14" s="73" t="e">
        <f t="shared" si="7"/>
        <v>#REF!</v>
      </c>
      <c r="O14" s="73" t="e">
        <f t="shared" si="7"/>
        <v>#REF!</v>
      </c>
      <c r="P14" s="73" t="e">
        <f t="shared" si="7"/>
        <v>#REF!</v>
      </c>
      <c r="Q14" s="73" t="e">
        <f t="shared" si="7"/>
        <v>#REF!</v>
      </c>
      <c r="R14" s="73" t="e">
        <f t="shared" si="7"/>
        <v>#REF!</v>
      </c>
    </row>
    <row r="15" spans="2:19" s="59" customFormat="1" ht="22.5" customHeight="1">
      <c r="B15" s="70" t="s">
        <v>76</v>
      </c>
      <c r="C15" s="109" t="e">
        <f>#REF!</f>
        <v>#REF!</v>
      </c>
      <c r="D15" s="109" t="e">
        <f>#REF!</f>
        <v>#REF!</v>
      </c>
      <c r="E15" s="71" t="e">
        <f>#REF!+E14*#REF!</f>
        <v>#REF!</v>
      </c>
      <c r="F15" s="71" t="e">
        <f>#REF!+E14*#REF!+F14*#REF!</f>
        <v>#REF!</v>
      </c>
      <c r="G15" s="71" t="e">
        <f>#REF!+E14*#REF!+F14*#REF!+G14*#REF!</f>
        <v>#REF!</v>
      </c>
      <c r="H15" s="71" t="e">
        <f>#REF!+E14*#REF!+F14*#REF!+G14*#REF!+H14*#REF!</f>
        <v>#REF!</v>
      </c>
      <c r="I15" s="71" t="e">
        <f>#REF!+E14*#REF!+F14*#REF!+G14*#REF!+H14*#REF!+I14*#REF!</f>
        <v>#REF!</v>
      </c>
      <c r="J15" s="71" t="e">
        <f>#REF!+E14*#REF!+F14*#REF!+G14*#REF!+H14*#REF!+I14*#REF!+J14*#REF!</f>
        <v>#REF!</v>
      </c>
      <c r="L15" s="70" t="str">
        <f>B15</f>
        <v>仕入支払</v>
      </c>
      <c r="M15" s="74" t="e">
        <f>#REF!+$R$1*(E14*#REF!)</f>
        <v>#REF!</v>
      </c>
      <c r="N15" s="74" t="e">
        <f>#REF!+$R$1*(E14*#REF!+F14*#REF!)</f>
        <v>#REF!</v>
      </c>
      <c r="O15" s="74" t="e">
        <f>#REF!+$R$1*(E14*#REF!+F14*#REF!+G14*#REF!)</f>
        <v>#REF!</v>
      </c>
      <c r="P15" s="74" t="e">
        <f>#REF!+$R$1*(E14*#REF!+F14*#REF!+G14*#REF!+H14*#REF!)</f>
        <v>#REF!</v>
      </c>
      <c r="Q15" s="74" t="e">
        <f>#REF!+$R$1*(E14*#REF!+F14*#REF!+G14*#REF!+H14*#REF!+I14*#REF!)</f>
        <v>#REF!</v>
      </c>
      <c r="R15" s="74" t="e">
        <f>#REF!+$R$1*(E14*#REF!+F14*#REF!+G14*#REF!+H14*#REF!+I14*#REF!+J14*#REF!)</f>
        <v>#REF!</v>
      </c>
    </row>
    <row r="16" spans="2:19" s="59" customFormat="1" ht="22.5" customHeight="1">
      <c r="B16" s="67"/>
      <c r="C16" s="110"/>
      <c r="D16" s="110"/>
      <c r="E16" s="72"/>
      <c r="F16" s="72"/>
      <c r="G16" s="72"/>
      <c r="H16" s="72"/>
      <c r="I16" s="72"/>
      <c r="J16" s="72"/>
      <c r="L16" s="67"/>
      <c r="M16" s="75"/>
      <c r="N16" s="75"/>
      <c r="O16" s="75"/>
      <c r="P16" s="75"/>
      <c r="Q16" s="75"/>
      <c r="R16" s="75"/>
    </row>
    <row r="17" spans="2:18" s="59" customFormat="1" ht="22.5" customHeight="1">
      <c r="B17" s="63" t="s">
        <v>77</v>
      </c>
      <c r="C17" s="108" t="e">
        <f>#REF!</f>
        <v>#REF!</v>
      </c>
      <c r="D17" s="108" t="e">
        <f>#REF!</f>
        <v>#REF!</v>
      </c>
      <c r="E17" s="69" t="e">
        <f>#REF!</f>
        <v>#REF!</v>
      </c>
      <c r="F17" s="69" t="e">
        <f>E17</f>
        <v>#REF!</v>
      </c>
      <c r="G17" s="69" t="e">
        <f>F17</f>
        <v>#REF!</v>
      </c>
      <c r="H17" s="69" t="e">
        <f>G17</f>
        <v>#REF!</v>
      </c>
      <c r="I17" s="69" t="e">
        <f>H17</f>
        <v>#REF!</v>
      </c>
      <c r="J17" s="69" t="e">
        <f>I17</f>
        <v>#REF!</v>
      </c>
      <c r="L17" s="63" t="str">
        <f t="shared" ref="L17:L28" si="8">B17</f>
        <v>人件費</v>
      </c>
      <c r="M17" s="73" t="e">
        <f t="shared" ref="M17:N20" si="9">E17</f>
        <v>#REF!</v>
      </c>
      <c r="N17" s="73" t="e">
        <f t="shared" si="9"/>
        <v>#REF!</v>
      </c>
      <c r="O17" s="73" t="e">
        <f t="shared" ref="O17:R20" si="10">G17</f>
        <v>#REF!</v>
      </c>
      <c r="P17" s="73" t="e">
        <f t="shared" si="10"/>
        <v>#REF!</v>
      </c>
      <c r="Q17" s="73" t="e">
        <f t="shared" si="10"/>
        <v>#REF!</v>
      </c>
      <c r="R17" s="73" t="e">
        <f t="shared" si="10"/>
        <v>#REF!</v>
      </c>
    </row>
    <row r="18" spans="2:18" s="59" customFormat="1" ht="22.5" customHeight="1">
      <c r="B18" s="63" t="s">
        <v>78</v>
      </c>
      <c r="C18" s="108" t="e">
        <f>#REF!</f>
        <v>#REF!</v>
      </c>
      <c r="D18" s="108" t="e">
        <f>#REF!</f>
        <v>#REF!</v>
      </c>
      <c r="E18" s="69" t="e">
        <f>#REF!</f>
        <v>#REF!</v>
      </c>
      <c r="F18" s="69" t="e">
        <f t="shared" ref="F18:J20" si="11">E18</f>
        <v>#REF!</v>
      </c>
      <c r="G18" s="69" t="e">
        <f t="shared" si="11"/>
        <v>#REF!</v>
      </c>
      <c r="H18" s="69" t="e">
        <f t="shared" si="11"/>
        <v>#REF!</v>
      </c>
      <c r="I18" s="69" t="e">
        <f t="shared" si="11"/>
        <v>#REF!</v>
      </c>
      <c r="J18" s="69" t="e">
        <f t="shared" si="11"/>
        <v>#REF!</v>
      </c>
      <c r="L18" s="63" t="str">
        <f t="shared" si="8"/>
        <v>営業経費</v>
      </c>
      <c r="M18" s="73" t="e">
        <f t="shared" si="9"/>
        <v>#REF!</v>
      </c>
      <c r="N18" s="73" t="e">
        <f t="shared" si="9"/>
        <v>#REF!</v>
      </c>
      <c r="O18" s="73" t="e">
        <f t="shared" si="10"/>
        <v>#REF!</v>
      </c>
      <c r="P18" s="73" t="e">
        <f t="shared" si="10"/>
        <v>#REF!</v>
      </c>
      <c r="Q18" s="73" t="e">
        <f t="shared" si="10"/>
        <v>#REF!</v>
      </c>
      <c r="R18" s="73" t="e">
        <f t="shared" si="10"/>
        <v>#REF!</v>
      </c>
    </row>
    <row r="19" spans="2:18" s="59" customFormat="1" ht="22.5" customHeight="1">
      <c r="B19" s="63" t="s">
        <v>80</v>
      </c>
      <c r="C19" s="108" t="e">
        <f>#REF!</f>
        <v>#REF!</v>
      </c>
      <c r="D19" s="108" t="e">
        <f>#REF!</f>
        <v>#REF!</v>
      </c>
      <c r="E19" s="69" t="e">
        <f>#REF!</f>
        <v>#REF!</v>
      </c>
      <c r="F19" s="69" t="e">
        <f t="shared" si="11"/>
        <v>#REF!</v>
      </c>
      <c r="G19" s="69" t="e">
        <f t="shared" si="11"/>
        <v>#REF!</v>
      </c>
      <c r="H19" s="69" t="e">
        <f t="shared" si="11"/>
        <v>#REF!</v>
      </c>
      <c r="I19" s="69" t="e">
        <f t="shared" si="11"/>
        <v>#REF!</v>
      </c>
      <c r="J19" s="69" t="e">
        <f t="shared" si="11"/>
        <v>#REF!</v>
      </c>
      <c r="L19" s="63" t="str">
        <f t="shared" si="8"/>
        <v>税金・社会保険料</v>
      </c>
      <c r="M19" s="73" t="e">
        <f t="shared" si="9"/>
        <v>#REF!</v>
      </c>
      <c r="N19" s="73" t="e">
        <f t="shared" si="9"/>
        <v>#REF!</v>
      </c>
      <c r="O19" s="73" t="e">
        <f t="shared" si="10"/>
        <v>#REF!</v>
      </c>
      <c r="P19" s="73" t="e">
        <f t="shared" si="10"/>
        <v>#REF!</v>
      </c>
      <c r="Q19" s="73" t="e">
        <f t="shared" si="10"/>
        <v>#REF!</v>
      </c>
      <c r="R19" s="73" t="e">
        <f t="shared" si="10"/>
        <v>#REF!</v>
      </c>
    </row>
    <row r="20" spans="2:18" s="59" customFormat="1" ht="22.5" customHeight="1">
      <c r="B20" s="63" t="s">
        <v>150</v>
      </c>
      <c r="C20" s="108" t="e">
        <f>#REF!</f>
        <v>#REF!</v>
      </c>
      <c r="D20" s="108" t="e">
        <f>#REF!</f>
        <v>#REF!</v>
      </c>
      <c r="E20" s="69" t="e">
        <f>#REF!</f>
        <v>#REF!</v>
      </c>
      <c r="F20" s="69" t="e">
        <f t="shared" si="11"/>
        <v>#REF!</v>
      </c>
      <c r="G20" s="69" t="e">
        <f t="shared" si="11"/>
        <v>#REF!</v>
      </c>
      <c r="H20" s="69" t="e">
        <f t="shared" si="11"/>
        <v>#REF!</v>
      </c>
      <c r="I20" s="69" t="e">
        <f t="shared" si="11"/>
        <v>#REF!</v>
      </c>
      <c r="J20" s="69" t="e">
        <f t="shared" si="11"/>
        <v>#REF!</v>
      </c>
      <c r="L20" s="63" t="str">
        <f t="shared" si="8"/>
        <v>リース・利息・その他</v>
      </c>
      <c r="M20" s="73" t="e">
        <f t="shared" si="9"/>
        <v>#REF!</v>
      </c>
      <c r="N20" s="73" t="e">
        <f t="shared" si="9"/>
        <v>#REF!</v>
      </c>
      <c r="O20" s="73" t="e">
        <f t="shared" si="10"/>
        <v>#REF!</v>
      </c>
      <c r="P20" s="73" t="e">
        <f t="shared" si="10"/>
        <v>#REF!</v>
      </c>
      <c r="Q20" s="73" t="e">
        <f t="shared" si="10"/>
        <v>#REF!</v>
      </c>
      <c r="R20" s="73" t="e">
        <f t="shared" si="10"/>
        <v>#REF!</v>
      </c>
    </row>
    <row r="21" spans="2:18" s="59" customFormat="1" ht="22.5" customHeight="1">
      <c r="B21" s="70" t="s">
        <v>123</v>
      </c>
      <c r="C21" s="71" t="e">
        <f t="shared" ref="C21:J21" si="12">C15+SUM(C17:C20)</f>
        <v>#REF!</v>
      </c>
      <c r="D21" s="71" t="e">
        <f t="shared" si="12"/>
        <v>#REF!</v>
      </c>
      <c r="E21" s="71" t="e">
        <f t="shared" si="12"/>
        <v>#REF!</v>
      </c>
      <c r="F21" s="71" t="e">
        <f t="shared" si="12"/>
        <v>#REF!</v>
      </c>
      <c r="G21" s="71" t="e">
        <f t="shared" si="12"/>
        <v>#REF!</v>
      </c>
      <c r="H21" s="71" t="e">
        <f t="shared" si="12"/>
        <v>#REF!</v>
      </c>
      <c r="I21" s="71" t="e">
        <f t="shared" si="12"/>
        <v>#REF!</v>
      </c>
      <c r="J21" s="71" t="e">
        <f t="shared" si="12"/>
        <v>#REF!</v>
      </c>
      <c r="L21" s="70" t="str">
        <f t="shared" si="8"/>
        <v>経常支出</v>
      </c>
      <c r="M21" s="74" t="e">
        <f t="shared" ref="M21:R21" si="13">M15+SUM(M17:M20)</f>
        <v>#REF!</v>
      </c>
      <c r="N21" s="74" t="e">
        <f t="shared" si="13"/>
        <v>#REF!</v>
      </c>
      <c r="O21" s="74" t="e">
        <f t="shared" si="13"/>
        <v>#REF!</v>
      </c>
      <c r="P21" s="74" t="e">
        <f t="shared" si="13"/>
        <v>#REF!</v>
      </c>
      <c r="Q21" s="74" t="e">
        <f t="shared" si="13"/>
        <v>#REF!</v>
      </c>
      <c r="R21" s="74" t="e">
        <f t="shared" si="13"/>
        <v>#REF!</v>
      </c>
    </row>
    <row r="22" spans="2:18" s="59" customFormat="1" ht="22.5" customHeight="1">
      <c r="B22" s="70" t="s">
        <v>122</v>
      </c>
      <c r="C22" s="111" t="e">
        <f t="shared" ref="C22:J22" si="14">C11-C21</f>
        <v>#REF!</v>
      </c>
      <c r="D22" s="111" t="e">
        <f t="shared" si="14"/>
        <v>#REF!</v>
      </c>
      <c r="E22" s="76" t="e">
        <f t="shared" si="14"/>
        <v>#REF!</v>
      </c>
      <c r="F22" s="76" t="e">
        <f t="shared" si="14"/>
        <v>#REF!</v>
      </c>
      <c r="G22" s="76" t="e">
        <f t="shared" si="14"/>
        <v>#REF!</v>
      </c>
      <c r="H22" s="76" t="e">
        <f t="shared" si="14"/>
        <v>#REF!</v>
      </c>
      <c r="I22" s="76" t="e">
        <f t="shared" si="14"/>
        <v>#REF!</v>
      </c>
      <c r="J22" s="76" t="e">
        <f t="shared" si="14"/>
        <v>#REF!</v>
      </c>
      <c r="L22" s="70" t="str">
        <f t="shared" si="8"/>
        <v>経常収支</v>
      </c>
      <c r="M22" s="76" t="e">
        <f t="shared" ref="M22:R22" si="15">M11-M21</f>
        <v>#REF!</v>
      </c>
      <c r="N22" s="76" t="e">
        <f t="shared" si="15"/>
        <v>#REF!</v>
      </c>
      <c r="O22" s="76" t="e">
        <f t="shared" si="15"/>
        <v>#REF!</v>
      </c>
      <c r="P22" s="76" t="e">
        <f t="shared" si="15"/>
        <v>#REF!</v>
      </c>
      <c r="Q22" s="76" t="e">
        <f t="shared" si="15"/>
        <v>#REF!</v>
      </c>
      <c r="R22" s="76" t="e">
        <f t="shared" si="15"/>
        <v>#REF!</v>
      </c>
    </row>
    <row r="23" spans="2:18" s="59" customFormat="1" ht="22.5" customHeight="1">
      <c r="B23" s="63" t="s">
        <v>94</v>
      </c>
      <c r="C23" s="108"/>
      <c r="D23" s="108"/>
      <c r="E23" s="69"/>
      <c r="F23" s="69"/>
      <c r="G23" s="69"/>
      <c r="H23" s="69"/>
      <c r="I23" s="69"/>
      <c r="J23" s="69"/>
      <c r="L23" s="63" t="str">
        <f t="shared" si="8"/>
        <v>借入金調達</v>
      </c>
      <c r="M23" s="73">
        <f>E23</f>
        <v>0</v>
      </c>
      <c r="N23" s="73">
        <f t="shared" ref="N23:R24" si="16">F23</f>
        <v>0</v>
      </c>
      <c r="O23" s="73">
        <f t="shared" si="16"/>
        <v>0</v>
      </c>
      <c r="P23" s="73">
        <f t="shared" si="16"/>
        <v>0</v>
      </c>
      <c r="Q23" s="73">
        <f t="shared" si="16"/>
        <v>0</v>
      </c>
      <c r="R23" s="73">
        <f t="shared" si="16"/>
        <v>0</v>
      </c>
    </row>
    <row r="24" spans="2:18" s="59" customFormat="1" ht="22.5" customHeight="1">
      <c r="B24" s="63" t="s">
        <v>79</v>
      </c>
      <c r="C24" s="108" t="e">
        <f>#REF!</f>
        <v>#REF!</v>
      </c>
      <c r="D24" s="108" t="e">
        <f t="shared" ref="D24:J24" si="17">C24</f>
        <v>#REF!</v>
      </c>
      <c r="E24" s="116" t="e">
        <f t="shared" si="17"/>
        <v>#REF!</v>
      </c>
      <c r="F24" s="107" t="e">
        <f t="shared" si="17"/>
        <v>#REF!</v>
      </c>
      <c r="G24" s="107" t="e">
        <f t="shared" si="17"/>
        <v>#REF!</v>
      </c>
      <c r="H24" s="107" t="e">
        <f t="shared" si="17"/>
        <v>#REF!</v>
      </c>
      <c r="I24" s="107" t="e">
        <f t="shared" si="17"/>
        <v>#REF!</v>
      </c>
      <c r="J24" s="107" t="e">
        <f t="shared" si="17"/>
        <v>#REF!</v>
      </c>
      <c r="L24" s="63" t="str">
        <f t="shared" si="8"/>
        <v>借入金返済</v>
      </c>
      <c r="M24" s="73" t="e">
        <f>E24</f>
        <v>#REF!</v>
      </c>
      <c r="N24" s="73" t="e">
        <f t="shared" si="16"/>
        <v>#REF!</v>
      </c>
      <c r="O24" s="73" t="e">
        <f t="shared" si="16"/>
        <v>#REF!</v>
      </c>
      <c r="P24" s="73" t="e">
        <f t="shared" si="16"/>
        <v>#REF!</v>
      </c>
      <c r="Q24" s="73" t="e">
        <f t="shared" si="16"/>
        <v>#REF!</v>
      </c>
      <c r="R24" s="73" t="e">
        <f t="shared" si="16"/>
        <v>#REF!</v>
      </c>
    </row>
    <row r="25" spans="2:18" s="59" customFormat="1" ht="22.5" customHeight="1">
      <c r="B25" s="63" t="s">
        <v>146</v>
      </c>
      <c r="C25" s="108"/>
      <c r="D25" s="108"/>
      <c r="E25" s="69"/>
      <c r="F25" s="69"/>
      <c r="G25" s="69"/>
      <c r="H25" s="69"/>
      <c r="I25" s="69"/>
      <c r="J25" s="69"/>
      <c r="L25" s="63" t="str">
        <f t="shared" si="8"/>
        <v>設備投資</v>
      </c>
      <c r="M25" s="113"/>
      <c r="N25" s="113"/>
      <c r="O25" s="113"/>
      <c r="P25" s="113"/>
      <c r="Q25" s="113"/>
      <c r="R25" s="113"/>
    </row>
    <row r="26" spans="2:18" s="59" customFormat="1" ht="22.5" customHeight="1">
      <c r="B26" s="70" t="s">
        <v>151</v>
      </c>
      <c r="C26" s="112" t="e">
        <f>C23-C24+C25</f>
        <v>#REF!</v>
      </c>
      <c r="D26" s="112" t="e">
        <f t="shared" ref="D26:J26" si="18">D23-D24+D25</f>
        <v>#REF!</v>
      </c>
      <c r="E26" s="112" t="e">
        <f t="shared" si="18"/>
        <v>#REF!</v>
      </c>
      <c r="F26" s="112" t="e">
        <f t="shared" si="18"/>
        <v>#REF!</v>
      </c>
      <c r="G26" s="112" t="e">
        <f t="shared" si="18"/>
        <v>#REF!</v>
      </c>
      <c r="H26" s="112" t="e">
        <f t="shared" si="18"/>
        <v>#REF!</v>
      </c>
      <c r="I26" s="112" t="e">
        <f t="shared" si="18"/>
        <v>#REF!</v>
      </c>
      <c r="J26" s="112" t="e">
        <f t="shared" si="18"/>
        <v>#REF!</v>
      </c>
      <c r="L26" s="70" t="str">
        <f t="shared" si="8"/>
        <v>財務収支他</v>
      </c>
      <c r="M26" s="112" t="e">
        <f t="shared" ref="M26:R26" si="19">M23-M24+M25</f>
        <v>#REF!</v>
      </c>
      <c r="N26" s="112" t="e">
        <f t="shared" si="19"/>
        <v>#REF!</v>
      </c>
      <c r="O26" s="112" t="e">
        <f t="shared" si="19"/>
        <v>#REF!</v>
      </c>
      <c r="P26" s="112" t="e">
        <f t="shared" si="19"/>
        <v>#REF!</v>
      </c>
      <c r="Q26" s="112" t="e">
        <f t="shared" si="19"/>
        <v>#REF!</v>
      </c>
      <c r="R26" s="112" t="e">
        <f t="shared" si="19"/>
        <v>#REF!</v>
      </c>
    </row>
    <row r="27" spans="2:18" s="59" customFormat="1" ht="22.5" customHeight="1">
      <c r="B27" s="70" t="s">
        <v>83</v>
      </c>
      <c r="C27" s="112" t="e">
        <f t="shared" ref="C27:J27" si="20">C22+C26</f>
        <v>#REF!</v>
      </c>
      <c r="D27" s="112" t="e">
        <f t="shared" si="20"/>
        <v>#REF!</v>
      </c>
      <c r="E27" s="112" t="e">
        <f t="shared" si="20"/>
        <v>#REF!</v>
      </c>
      <c r="F27" s="112" t="e">
        <f t="shared" si="20"/>
        <v>#REF!</v>
      </c>
      <c r="G27" s="112" t="e">
        <f t="shared" si="20"/>
        <v>#REF!</v>
      </c>
      <c r="H27" s="112" t="e">
        <f t="shared" si="20"/>
        <v>#REF!</v>
      </c>
      <c r="I27" s="112" t="e">
        <f t="shared" si="20"/>
        <v>#REF!</v>
      </c>
      <c r="J27" s="112" t="e">
        <f t="shared" si="20"/>
        <v>#REF!</v>
      </c>
      <c r="L27" s="70" t="str">
        <f t="shared" si="8"/>
        <v>当月収支</v>
      </c>
      <c r="M27" s="112" t="e">
        <f t="shared" ref="M27:R27" si="21">M22+M26</f>
        <v>#REF!</v>
      </c>
      <c r="N27" s="112" t="e">
        <f t="shared" si="21"/>
        <v>#REF!</v>
      </c>
      <c r="O27" s="112" t="e">
        <f t="shared" si="21"/>
        <v>#REF!</v>
      </c>
      <c r="P27" s="112" t="e">
        <f t="shared" si="21"/>
        <v>#REF!</v>
      </c>
      <c r="Q27" s="112" t="e">
        <f t="shared" si="21"/>
        <v>#REF!</v>
      </c>
      <c r="R27" s="112" t="e">
        <f t="shared" si="21"/>
        <v>#REF!</v>
      </c>
    </row>
    <row r="28" spans="2:18" s="59" customFormat="1" ht="22.5" customHeight="1">
      <c r="B28" s="77" t="s">
        <v>84</v>
      </c>
      <c r="C28" s="78" t="e">
        <f t="shared" ref="C28:J28" si="22">C6+C27</f>
        <v>#REF!</v>
      </c>
      <c r="D28" s="78" t="e">
        <f t="shared" si="22"/>
        <v>#REF!</v>
      </c>
      <c r="E28" s="78" t="e">
        <f t="shared" si="22"/>
        <v>#REF!</v>
      </c>
      <c r="F28" s="78" t="e">
        <f t="shared" si="22"/>
        <v>#REF!</v>
      </c>
      <c r="G28" s="78" t="e">
        <f t="shared" si="22"/>
        <v>#REF!</v>
      </c>
      <c r="H28" s="78" t="e">
        <f t="shared" si="22"/>
        <v>#REF!</v>
      </c>
      <c r="I28" s="78" t="e">
        <f t="shared" si="22"/>
        <v>#REF!</v>
      </c>
      <c r="J28" s="78" t="e">
        <f t="shared" si="22"/>
        <v>#REF!</v>
      </c>
      <c r="L28" s="77" t="str">
        <f t="shared" si="8"/>
        <v>月末現金残高</v>
      </c>
      <c r="M28" s="78" t="e">
        <f t="shared" ref="M28:R28" si="23">M6+M27</f>
        <v>#REF!</v>
      </c>
      <c r="N28" s="78" t="e">
        <f t="shared" si="23"/>
        <v>#REF!</v>
      </c>
      <c r="O28" s="78" t="e">
        <f t="shared" si="23"/>
        <v>#REF!</v>
      </c>
      <c r="P28" s="78" t="e">
        <f t="shared" si="23"/>
        <v>#REF!</v>
      </c>
      <c r="Q28" s="78" t="e">
        <f t="shared" si="23"/>
        <v>#REF!</v>
      </c>
      <c r="R28" s="78" t="e">
        <f t="shared" si="23"/>
        <v>#REF!</v>
      </c>
    </row>
    <row r="33" spans="2:13">
      <c r="B33" s="96"/>
      <c r="C33" s="96"/>
      <c r="D33" s="96"/>
      <c r="E33" s="97"/>
      <c r="F33" s="97"/>
      <c r="G33" s="97"/>
      <c r="H33" s="97"/>
      <c r="I33" s="290"/>
      <c r="J33" s="290"/>
      <c r="K33" s="98"/>
      <c r="L33" s="98"/>
      <c r="M33" s="98"/>
    </row>
    <row r="34" spans="2:13">
      <c r="B34" s="97"/>
      <c r="C34" s="97"/>
      <c r="D34" s="97"/>
      <c r="E34" s="291"/>
      <c r="F34" s="291"/>
      <c r="G34" s="99"/>
      <c r="H34" s="100"/>
      <c r="I34" s="101"/>
      <c r="J34" s="101"/>
      <c r="K34" s="115"/>
      <c r="L34" s="115"/>
      <c r="M34" s="99"/>
    </row>
    <row r="35" spans="2:13">
      <c r="B35" s="97"/>
      <c r="C35" s="97"/>
      <c r="D35" s="97"/>
      <c r="E35" s="100"/>
      <c r="F35" s="100"/>
      <c r="G35" s="99"/>
      <c r="H35" s="100"/>
      <c r="I35" s="101"/>
      <c r="J35" s="101"/>
      <c r="K35" s="100"/>
      <c r="L35" s="100"/>
      <c r="M35" s="99"/>
    </row>
    <row r="36" spans="2:13">
      <c r="B36" s="97"/>
      <c r="C36" s="97"/>
      <c r="D36" s="97"/>
      <c r="E36" s="100"/>
      <c r="F36" s="100"/>
      <c r="G36" s="99"/>
      <c r="H36" s="100"/>
      <c r="I36" s="285"/>
      <c r="J36" s="285"/>
      <c r="K36" s="100"/>
      <c r="L36" s="100"/>
      <c r="M36" s="99"/>
    </row>
  </sheetData>
  <mergeCells count="6">
    <mergeCell ref="I36:J36"/>
    <mergeCell ref="E1:P1"/>
    <mergeCell ref="B4:G4"/>
    <mergeCell ref="L4:O4"/>
    <mergeCell ref="I33:J33"/>
    <mergeCell ref="E34:F34"/>
  </mergeCells>
  <phoneticPr fontId="3"/>
  <pageMargins left="0.7" right="0.7" top="0.75" bottom="0.75" header="0.3" footer="0.3"/>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DE99-D2F2-4C37-BC1E-B673373139AC}">
  <sheetPr codeName="Sheet14">
    <pageSetUpPr fitToPage="1"/>
  </sheetPr>
  <dimension ref="B3:M21"/>
  <sheetViews>
    <sheetView workbookViewId="0"/>
  </sheetViews>
  <sheetFormatPr defaultRowHeight="18"/>
  <cols>
    <col min="1" max="1" width="6" customWidth="1"/>
    <col min="2" max="2" width="44.8984375" customWidth="1"/>
    <col min="3" max="3" width="104.59765625" bestFit="1" customWidth="1"/>
    <col min="4" max="4" width="6.3984375" customWidth="1"/>
    <col min="7" max="7" width="7.09765625" customWidth="1"/>
  </cols>
  <sheetData>
    <row r="3" spans="2:13" ht="36">
      <c r="B3" s="44" t="s">
        <v>91</v>
      </c>
      <c r="C3" t="s">
        <v>92</v>
      </c>
      <c r="D3" t="s">
        <v>46</v>
      </c>
      <c r="E3" s="45">
        <v>7500</v>
      </c>
      <c r="F3" s="46" t="s">
        <v>45</v>
      </c>
      <c r="G3" s="46" t="s">
        <v>53</v>
      </c>
      <c r="H3" s="45">
        <v>3200</v>
      </c>
      <c r="I3" t="s">
        <v>45</v>
      </c>
      <c r="J3" t="s">
        <v>48</v>
      </c>
      <c r="K3" s="45">
        <v>0</v>
      </c>
      <c r="L3" t="s">
        <v>49</v>
      </c>
      <c r="M3" s="45">
        <v>2200</v>
      </c>
    </row>
    <row r="4" spans="2:13">
      <c r="C4" t="s">
        <v>54</v>
      </c>
      <c r="D4" t="s">
        <v>46</v>
      </c>
      <c r="E4" s="45">
        <v>8000</v>
      </c>
      <c r="F4" s="46" t="s">
        <v>45</v>
      </c>
      <c r="G4" s="46" t="s">
        <v>53</v>
      </c>
      <c r="H4" s="45">
        <v>3300</v>
      </c>
      <c r="I4" t="s">
        <v>45</v>
      </c>
      <c r="J4" t="s">
        <v>48</v>
      </c>
      <c r="K4" s="45">
        <v>0</v>
      </c>
      <c r="L4" t="s">
        <v>49</v>
      </c>
      <c r="M4" s="45">
        <v>2250</v>
      </c>
    </row>
    <row r="5" spans="2:13">
      <c r="C5" t="s">
        <v>55</v>
      </c>
      <c r="D5" t="s">
        <v>46</v>
      </c>
      <c r="E5" s="45">
        <v>8500</v>
      </c>
      <c r="F5" s="46" t="s">
        <v>45</v>
      </c>
      <c r="G5" s="46" t="s">
        <v>53</v>
      </c>
      <c r="H5" s="45">
        <v>3500</v>
      </c>
      <c r="I5" t="s">
        <v>45</v>
      </c>
      <c r="J5" t="s">
        <v>48</v>
      </c>
      <c r="K5" s="45">
        <v>0</v>
      </c>
      <c r="L5" t="s">
        <v>49</v>
      </c>
      <c r="M5" s="45">
        <v>2300</v>
      </c>
    </row>
    <row r="6" spans="2:13">
      <c r="C6" t="s">
        <v>56</v>
      </c>
      <c r="D6" t="s">
        <v>46</v>
      </c>
      <c r="E6" s="45">
        <v>9000</v>
      </c>
      <c r="F6" s="46" t="s">
        <v>45</v>
      </c>
      <c r="G6" s="46" t="s">
        <v>53</v>
      </c>
      <c r="H6" s="45">
        <v>3700</v>
      </c>
      <c r="I6" t="s">
        <v>45</v>
      </c>
      <c r="J6" t="s">
        <v>48</v>
      </c>
      <c r="K6" s="45">
        <v>0</v>
      </c>
      <c r="L6" t="s">
        <v>49</v>
      </c>
      <c r="M6" s="45">
        <v>2350</v>
      </c>
    </row>
    <row r="7" spans="2:13">
      <c r="C7" t="s">
        <v>57</v>
      </c>
      <c r="D7" t="s">
        <v>46</v>
      </c>
      <c r="E7" s="45">
        <v>9500</v>
      </c>
      <c r="F7" s="46" t="s">
        <v>45</v>
      </c>
      <c r="G7" s="46" t="s">
        <v>53</v>
      </c>
      <c r="H7" s="45">
        <v>3800</v>
      </c>
      <c r="I7" t="s">
        <v>45</v>
      </c>
      <c r="J7" t="s">
        <v>48</v>
      </c>
      <c r="K7" s="45">
        <v>0</v>
      </c>
      <c r="L7" t="s">
        <v>49</v>
      </c>
      <c r="M7" s="45">
        <v>2400</v>
      </c>
    </row>
    <row r="8" spans="2:13">
      <c r="C8" t="s">
        <v>58</v>
      </c>
      <c r="D8" t="s">
        <v>46</v>
      </c>
      <c r="E8" s="45">
        <v>10000</v>
      </c>
      <c r="F8" s="46" t="s">
        <v>45</v>
      </c>
      <c r="G8" s="46" t="s">
        <v>53</v>
      </c>
      <c r="H8" s="45">
        <v>4000</v>
      </c>
      <c r="I8" t="s">
        <v>45</v>
      </c>
      <c r="J8" t="s">
        <v>48</v>
      </c>
      <c r="K8" s="45">
        <v>0</v>
      </c>
      <c r="L8" t="s">
        <v>49</v>
      </c>
      <c r="M8" s="45">
        <v>2500</v>
      </c>
    </row>
    <row r="9" spans="2:13">
      <c r="B9" t="s">
        <v>59</v>
      </c>
      <c r="C9" t="s">
        <v>60</v>
      </c>
      <c r="E9" s="45">
        <v>1200</v>
      </c>
      <c r="F9" t="s">
        <v>45</v>
      </c>
    </row>
    <row r="10" spans="2:13">
      <c r="C10" t="s">
        <v>61</v>
      </c>
      <c r="E10" s="45">
        <v>2200</v>
      </c>
      <c r="F10" t="s">
        <v>45</v>
      </c>
    </row>
    <row r="11" spans="2:13">
      <c r="C11" t="s">
        <v>62</v>
      </c>
      <c r="E11" s="45">
        <v>225</v>
      </c>
      <c r="F11" t="s">
        <v>45</v>
      </c>
    </row>
    <row r="12" spans="2:13">
      <c r="C12" t="s">
        <v>63</v>
      </c>
      <c r="E12" s="45">
        <v>250</v>
      </c>
      <c r="F12" t="s">
        <v>45</v>
      </c>
    </row>
    <row r="13" spans="2:13">
      <c r="C13" t="s">
        <v>64</v>
      </c>
      <c r="E13" s="45">
        <v>120</v>
      </c>
      <c r="F13" t="s">
        <v>45</v>
      </c>
    </row>
    <row r="14" spans="2:13">
      <c r="C14" t="s">
        <v>93</v>
      </c>
      <c r="E14" s="45">
        <v>0</v>
      </c>
      <c r="F14" t="s">
        <v>45</v>
      </c>
    </row>
    <row r="15" spans="2:13">
      <c r="B15" t="s">
        <v>65</v>
      </c>
      <c r="C15" t="s">
        <v>66</v>
      </c>
      <c r="E15" s="45">
        <v>30000</v>
      </c>
      <c r="F15" t="s">
        <v>45</v>
      </c>
    </row>
    <row r="16" spans="2:13">
      <c r="B16" s="284" t="s">
        <v>67</v>
      </c>
      <c r="C16" t="s">
        <v>103</v>
      </c>
      <c r="E16" s="47">
        <v>0.3</v>
      </c>
    </row>
    <row r="17" spans="2:9">
      <c r="B17" s="284"/>
      <c r="C17" t="s">
        <v>104</v>
      </c>
      <c r="E17" s="47">
        <v>0.7</v>
      </c>
      <c r="G17" s="48">
        <v>1</v>
      </c>
      <c r="H17" t="s">
        <v>68</v>
      </c>
      <c r="I17" t="s">
        <v>69</v>
      </c>
    </row>
    <row r="18" spans="2:9">
      <c r="B18" s="284"/>
      <c r="C18" t="s">
        <v>105</v>
      </c>
      <c r="E18" s="47">
        <v>0</v>
      </c>
      <c r="G18" s="48">
        <v>3</v>
      </c>
      <c r="H18" t="s">
        <v>68</v>
      </c>
      <c r="I18" t="s">
        <v>69</v>
      </c>
    </row>
    <row r="19" spans="2:9">
      <c r="B19" s="284" t="s">
        <v>70</v>
      </c>
      <c r="C19" t="s">
        <v>99</v>
      </c>
      <c r="E19" s="47">
        <v>0.6</v>
      </c>
    </row>
    <row r="20" spans="2:9">
      <c r="B20" s="284"/>
      <c r="C20" t="s">
        <v>106</v>
      </c>
      <c r="E20" s="47">
        <v>0.4</v>
      </c>
      <c r="G20" s="48">
        <v>1</v>
      </c>
      <c r="H20" t="s">
        <v>68</v>
      </c>
      <c r="I20" t="s">
        <v>69</v>
      </c>
    </row>
    <row r="21" spans="2:9">
      <c r="B21" s="284"/>
      <c r="C21" t="s">
        <v>107</v>
      </c>
      <c r="E21" s="47">
        <v>0</v>
      </c>
      <c r="G21" s="48">
        <v>0</v>
      </c>
      <c r="H21" t="s">
        <v>68</v>
      </c>
      <c r="I21" t="s">
        <v>69</v>
      </c>
    </row>
  </sheetData>
  <mergeCells count="2">
    <mergeCell ref="B16:B18"/>
    <mergeCell ref="B19:B21"/>
  </mergeCells>
  <phoneticPr fontId="3"/>
  <pageMargins left="0.7" right="0.7" top="0.75" bottom="0.75" header="0.3" footer="0.3"/>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A04B-EF3E-41A5-808F-020333E0F19A}">
  <sheetPr codeName="Sheet15">
    <pageSetUpPr fitToPage="1"/>
  </sheetPr>
  <dimension ref="B2:M20"/>
  <sheetViews>
    <sheetView workbookViewId="0"/>
  </sheetViews>
  <sheetFormatPr defaultRowHeight="18"/>
  <cols>
    <col min="1" max="1" width="6" customWidth="1"/>
    <col min="2" max="2" width="44.8984375" customWidth="1"/>
    <col min="3" max="3" width="104.59765625" bestFit="1" customWidth="1"/>
    <col min="4" max="4" width="6.3984375" customWidth="1"/>
    <col min="7" max="7" width="7.09765625" customWidth="1"/>
  </cols>
  <sheetData>
    <row r="2" spans="2:13" ht="36">
      <c r="B2" s="44" t="s">
        <v>91</v>
      </c>
      <c r="C2" t="s">
        <v>92</v>
      </c>
      <c r="D2" t="s">
        <v>46</v>
      </c>
      <c r="E2" s="45">
        <v>7500</v>
      </c>
      <c r="F2" s="46" t="s">
        <v>45</v>
      </c>
      <c r="G2" s="46" t="s">
        <v>53</v>
      </c>
      <c r="H2" s="45">
        <v>3200</v>
      </c>
      <c r="I2" t="s">
        <v>45</v>
      </c>
      <c r="J2" t="s">
        <v>48</v>
      </c>
      <c r="K2" s="45">
        <v>0</v>
      </c>
      <c r="L2" t="s">
        <v>49</v>
      </c>
      <c r="M2" s="45">
        <v>2200</v>
      </c>
    </row>
    <row r="3" spans="2:13">
      <c r="C3" t="s">
        <v>54</v>
      </c>
      <c r="D3" t="s">
        <v>46</v>
      </c>
      <c r="E3" s="45">
        <v>8000</v>
      </c>
      <c r="F3" s="46" t="s">
        <v>45</v>
      </c>
      <c r="G3" s="46" t="s">
        <v>53</v>
      </c>
      <c r="H3" s="45">
        <v>3300</v>
      </c>
      <c r="I3" t="s">
        <v>45</v>
      </c>
      <c r="J3" t="s">
        <v>48</v>
      </c>
      <c r="K3" s="45">
        <v>0</v>
      </c>
      <c r="L3" t="s">
        <v>49</v>
      </c>
      <c r="M3" s="45">
        <v>2250</v>
      </c>
    </row>
    <row r="4" spans="2:13">
      <c r="C4" t="s">
        <v>55</v>
      </c>
      <c r="D4" t="s">
        <v>46</v>
      </c>
      <c r="E4" s="45">
        <v>8500</v>
      </c>
      <c r="F4" s="46" t="s">
        <v>45</v>
      </c>
      <c r="G4" s="46" t="s">
        <v>53</v>
      </c>
      <c r="H4" s="45">
        <v>3500</v>
      </c>
      <c r="I4" t="s">
        <v>45</v>
      </c>
      <c r="J4" t="s">
        <v>48</v>
      </c>
      <c r="K4" s="45">
        <v>0</v>
      </c>
      <c r="L4" t="s">
        <v>49</v>
      </c>
      <c r="M4" s="45">
        <v>2300</v>
      </c>
    </row>
    <row r="5" spans="2:13">
      <c r="C5" t="s">
        <v>56</v>
      </c>
      <c r="D5" t="s">
        <v>46</v>
      </c>
      <c r="E5" s="45">
        <v>9000</v>
      </c>
      <c r="F5" s="46" t="s">
        <v>45</v>
      </c>
      <c r="G5" s="46" t="s">
        <v>53</v>
      </c>
      <c r="H5" s="45">
        <v>3700</v>
      </c>
      <c r="I5" t="s">
        <v>45</v>
      </c>
      <c r="J5" t="s">
        <v>48</v>
      </c>
      <c r="K5" s="45">
        <v>0</v>
      </c>
      <c r="L5" t="s">
        <v>49</v>
      </c>
      <c r="M5" s="45">
        <v>2350</v>
      </c>
    </row>
    <row r="6" spans="2:13">
      <c r="C6" t="s">
        <v>57</v>
      </c>
      <c r="D6" t="s">
        <v>46</v>
      </c>
      <c r="E6" s="45">
        <v>9500</v>
      </c>
      <c r="F6" s="46" t="s">
        <v>45</v>
      </c>
      <c r="G6" s="46" t="s">
        <v>53</v>
      </c>
      <c r="H6" s="45">
        <v>3800</v>
      </c>
      <c r="I6" t="s">
        <v>45</v>
      </c>
      <c r="J6" t="s">
        <v>48</v>
      </c>
      <c r="K6" s="45">
        <v>0</v>
      </c>
      <c r="L6" t="s">
        <v>49</v>
      </c>
      <c r="M6" s="45">
        <v>2400</v>
      </c>
    </row>
    <row r="7" spans="2:13">
      <c r="C7" t="s">
        <v>58</v>
      </c>
      <c r="D7" t="s">
        <v>46</v>
      </c>
      <c r="E7" s="45">
        <v>10000</v>
      </c>
      <c r="F7" s="46" t="s">
        <v>45</v>
      </c>
      <c r="G7" s="46" t="s">
        <v>53</v>
      </c>
      <c r="H7" s="45">
        <v>4000</v>
      </c>
      <c r="I7" t="s">
        <v>45</v>
      </c>
      <c r="J7" t="s">
        <v>48</v>
      </c>
      <c r="K7" s="45">
        <v>0</v>
      </c>
      <c r="L7" t="s">
        <v>49</v>
      </c>
      <c r="M7" s="45">
        <v>2500</v>
      </c>
    </row>
    <row r="8" spans="2:13">
      <c r="B8" t="s">
        <v>59</v>
      </c>
      <c r="C8" t="s">
        <v>60</v>
      </c>
      <c r="E8" s="45">
        <v>1200</v>
      </c>
      <c r="F8" t="s">
        <v>45</v>
      </c>
    </row>
    <row r="9" spans="2:13">
      <c r="C9" t="s">
        <v>61</v>
      </c>
      <c r="E9" s="45">
        <v>2200</v>
      </c>
      <c r="F9" t="s">
        <v>45</v>
      </c>
    </row>
    <row r="10" spans="2:13">
      <c r="C10" t="s">
        <v>62</v>
      </c>
      <c r="E10" s="45">
        <v>225</v>
      </c>
      <c r="F10" t="s">
        <v>45</v>
      </c>
    </row>
    <row r="11" spans="2:13">
      <c r="C11" t="s">
        <v>63</v>
      </c>
      <c r="E11" s="45">
        <v>250</v>
      </c>
      <c r="F11" t="s">
        <v>45</v>
      </c>
    </row>
    <row r="12" spans="2:13">
      <c r="C12" t="s">
        <v>64</v>
      </c>
      <c r="E12" s="45">
        <v>120</v>
      </c>
      <c r="F12" t="s">
        <v>45</v>
      </c>
    </row>
    <row r="13" spans="2:13">
      <c r="C13" t="s">
        <v>93</v>
      </c>
      <c r="E13" s="45">
        <v>0</v>
      </c>
      <c r="F13" t="s">
        <v>45</v>
      </c>
    </row>
    <row r="14" spans="2:13">
      <c r="B14" t="s">
        <v>65</v>
      </c>
      <c r="C14" t="s">
        <v>66</v>
      </c>
      <c r="E14" s="45">
        <v>30000</v>
      </c>
      <c r="F14" t="s">
        <v>45</v>
      </c>
    </row>
    <row r="15" spans="2:13">
      <c r="B15" s="284" t="s">
        <v>67</v>
      </c>
      <c r="C15" t="s">
        <v>103</v>
      </c>
      <c r="E15" s="47">
        <v>0.3</v>
      </c>
    </row>
    <row r="16" spans="2:13">
      <c r="B16" s="284"/>
      <c r="C16" t="s">
        <v>104</v>
      </c>
      <c r="E16" s="47">
        <v>0.7</v>
      </c>
      <c r="G16" s="48">
        <v>1</v>
      </c>
      <c r="H16" t="s">
        <v>68</v>
      </c>
      <c r="I16" t="s">
        <v>69</v>
      </c>
    </row>
    <row r="17" spans="2:9">
      <c r="B17" s="284"/>
      <c r="C17" t="s">
        <v>105</v>
      </c>
      <c r="E17" s="47">
        <v>0</v>
      </c>
      <c r="G17" s="48">
        <v>3</v>
      </c>
      <c r="H17" t="s">
        <v>68</v>
      </c>
      <c r="I17" t="s">
        <v>69</v>
      </c>
    </row>
    <row r="18" spans="2:9">
      <c r="B18" s="284" t="s">
        <v>70</v>
      </c>
      <c r="C18" t="s">
        <v>99</v>
      </c>
      <c r="E18" s="47">
        <v>0.6</v>
      </c>
    </row>
    <row r="19" spans="2:9">
      <c r="B19" s="284"/>
      <c r="C19" t="s">
        <v>106</v>
      </c>
      <c r="E19" s="47">
        <v>0.4</v>
      </c>
      <c r="G19" s="48">
        <v>1</v>
      </c>
      <c r="H19" t="s">
        <v>68</v>
      </c>
      <c r="I19" t="s">
        <v>69</v>
      </c>
    </row>
    <row r="20" spans="2:9">
      <c r="B20" s="284"/>
      <c r="C20" t="s">
        <v>107</v>
      </c>
      <c r="E20" s="47">
        <v>0</v>
      </c>
      <c r="G20" s="48">
        <v>0</v>
      </c>
      <c r="H20" t="s">
        <v>68</v>
      </c>
      <c r="I20" t="s">
        <v>69</v>
      </c>
    </row>
  </sheetData>
  <mergeCells count="2">
    <mergeCell ref="B15:B17"/>
    <mergeCell ref="B18:B20"/>
  </mergeCells>
  <phoneticPr fontId="3"/>
  <pageMargins left="0.7" right="0.7" top="0.75" bottom="0.75" header="0.3" footer="0.3"/>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F3AF-6926-4786-BE27-9932825D28B5}">
  <sheetPr codeName="Sheet16">
    <pageSetUpPr fitToPage="1"/>
  </sheetPr>
  <dimension ref="B1:Q38"/>
  <sheetViews>
    <sheetView workbookViewId="0"/>
  </sheetViews>
  <sheetFormatPr defaultRowHeight="18"/>
  <cols>
    <col min="1" max="1" width="5.19921875" customWidth="1"/>
    <col min="2" max="2" width="17.59765625" style="85" customWidth="1"/>
    <col min="3" max="3" width="11.59765625" customWidth="1"/>
    <col min="4" max="7" width="9.3984375" bestFit="1" customWidth="1"/>
    <col min="9" max="9" width="6.8984375" customWidth="1"/>
    <col min="10" max="10" width="17.59765625" style="49" customWidth="1"/>
    <col min="11" max="16" width="9.3984375" bestFit="1" customWidth="1"/>
  </cols>
  <sheetData>
    <row r="1" spans="2:17" ht="29.4" thickBot="1">
      <c r="C1" s="286" t="s">
        <v>95</v>
      </c>
      <c r="D1" s="286"/>
      <c r="E1" s="286"/>
      <c r="F1" s="286"/>
      <c r="G1" s="286"/>
      <c r="H1" s="286"/>
      <c r="I1" s="286"/>
      <c r="J1" s="286"/>
      <c r="K1" s="286"/>
      <c r="L1" s="286"/>
      <c r="M1" s="286"/>
      <c r="N1" s="286"/>
      <c r="O1" s="50" t="s">
        <v>71</v>
      </c>
      <c r="P1" s="51">
        <v>0.8</v>
      </c>
    </row>
    <row r="2" spans="2:17">
      <c r="B2" s="86"/>
      <c r="C2" s="55"/>
      <c r="D2" s="55"/>
      <c r="E2" s="56"/>
      <c r="F2" s="55"/>
      <c r="G2" s="55"/>
      <c r="H2" s="55"/>
      <c r="I2" s="55"/>
      <c r="J2" s="55"/>
      <c r="K2" s="55"/>
      <c r="L2" s="55"/>
      <c r="M2" s="56"/>
      <c r="Q2" s="49"/>
    </row>
    <row r="3" spans="2:17">
      <c r="B3" s="86"/>
      <c r="C3" s="55"/>
      <c r="D3" s="55"/>
      <c r="E3" s="56"/>
      <c r="F3" s="55"/>
      <c r="G3" s="55"/>
      <c r="H3" s="55"/>
      <c r="I3" s="55"/>
      <c r="J3" s="55"/>
      <c r="K3" s="55"/>
      <c r="L3" s="55"/>
      <c r="M3" s="56"/>
      <c r="Q3" s="49"/>
    </row>
    <row r="4" spans="2:17" s="89" customFormat="1" ht="26.4">
      <c r="B4" s="323" t="s">
        <v>72</v>
      </c>
      <c r="C4" s="323"/>
      <c r="D4" s="323"/>
      <c r="E4" s="323"/>
      <c r="F4" s="87"/>
      <c r="G4" s="88"/>
      <c r="H4" s="88"/>
      <c r="I4" s="88"/>
      <c r="J4" s="324" t="s">
        <v>73</v>
      </c>
      <c r="K4" s="324"/>
      <c r="L4" s="324"/>
      <c r="M4" s="324"/>
    </row>
    <row r="5" spans="2:17" s="59" customFormat="1" ht="22.5" customHeight="1">
      <c r="B5" s="60"/>
      <c r="C5" s="61">
        <f ca="1">NOW()+30</f>
        <v>46058.601330787038</v>
      </c>
      <c r="D5" s="61">
        <f ca="1">C5+30</f>
        <v>46088.601330787038</v>
      </c>
      <c r="E5" s="61">
        <f ca="1">D5+30</f>
        <v>46118.601330787038</v>
      </c>
      <c r="F5" s="61">
        <f ca="1">E5+30</f>
        <v>46148.601330787038</v>
      </c>
      <c r="G5" s="61">
        <f ca="1">F5+30</f>
        <v>46178.601330787038</v>
      </c>
      <c r="H5" s="84">
        <f ca="1">G5+30</f>
        <v>46208.601330787038</v>
      </c>
      <c r="J5" s="62"/>
      <c r="K5" s="61">
        <f t="shared" ref="K5:P5" ca="1" si="0">C5</f>
        <v>46058.601330787038</v>
      </c>
      <c r="L5" s="61">
        <f t="shared" ca="1" si="0"/>
        <v>46088.601330787038</v>
      </c>
      <c r="M5" s="61">
        <f t="shared" ca="1" si="0"/>
        <v>46118.601330787038</v>
      </c>
      <c r="N5" s="61">
        <f t="shared" ca="1" si="0"/>
        <v>46148.601330787038</v>
      </c>
      <c r="O5" s="61">
        <f t="shared" ca="1" si="0"/>
        <v>46178.601330787038</v>
      </c>
      <c r="P5" s="84">
        <f t="shared" ca="1" si="0"/>
        <v>46208.601330787038</v>
      </c>
    </row>
    <row r="6" spans="2:17" s="59" customFormat="1" ht="22.5" customHeight="1">
      <c r="B6" s="63" t="s">
        <v>74</v>
      </c>
      <c r="C6" s="64">
        <f>'資金繰り表データ入力（製造）'!E14</f>
        <v>30000</v>
      </c>
      <c r="D6" s="64">
        <f>C27</f>
        <v>24135</v>
      </c>
      <c r="E6" s="64">
        <f>D27</f>
        <v>22280</v>
      </c>
      <c r="F6" s="64">
        <f>E27</f>
        <v>20715</v>
      </c>
      <c r="G6" s="64">
        <f>F27</f>
        <v>19400</v>
      </c>
      <c r="H6" s="64">
        <f>G27</f>
        <v>18395</v>
      </c>
      <c r="I6" s="58"/>
      <c r="J6" s="65" t="str">
        <f>B6</f>
        <v>月初現金残高</v>
      </c>
      <c r="K6" s="64">
        <f>C6</f>
        <v>30000</v>
      </c>
      <c r="L6" s="64">
        <f>K27</f>
        <v>24069</v>
      </c>
      <c r="M6" s="64">
        <f>L27</f>
        <v>21336</v>
      </c>
      <c r="N6" s="66">
        <f>M27</f>
        <v>18825</v>
      </c>
      <c r="O6" s="66">
        <f>N27</f>
        <v>16504</v>
      </c>
      <c r="P6" s="66">
        <f>O27</f>
        <v>14421</v>
      </c>
    </row>
    <row r="7" spans="2:17" s="59" customFormat="1" ht="22.5" customHeight="1">
      <c r="B7" s="67"/>
      <c r="C7" s="58"/>
      <c r="D7" s="58"/>
      <c r="E7" s="58"/>
      <c r="F7" s="57"/>
      <c r="G7" s="58"/>
      <c r="H7" s="58"/>
      <c r="I7" s="58"/>
      <c r="J7" s="68"/>
      <c r="K7" s="58"/>
      <c r="L7" s="58"/>
      <c r="M7" s="58"/>
    </row>
    <row r="8" spans="2:17" s="59" customFormat="1" ht="22.5" customHeight="1">
      <c r="B8" s="60"/>
      <c r="C8" s="61">
        <f ca="1">NOW()+30</f>
        <v>46058.601330787038</v>
      </c>
      <c r="D8" s="61">
        <f ca="1">C8+30</f>
        <v>46088.601330787038</v>
      </c>
      <c r="E8" s="61">
        <f ca="1">D8+30</f>
        <v>46118.601330787038</v>
      </c>
      <c r="F8" s="61">
        <f ca="1">E8+30</f>
        <v>46148.601330787038</v>
      </c>
      <c r="G8" s="61">
        <f ca="1">F8+30</f>
        <v>46178.601330787038</v>
      </c>
      <c r="H8" s="84">
        <f ca="1">G8+30</f>
        <v>46208.601330787038</v>
      </c>
      <c r="J8" s="62"/>
      <c r="K8" s="61">
        <f t="shared" ref="K8:P8" ca="1" si="1">C8</f>
        <v>46058.601330787038</v>
      </c>
      <c r="L8" s="61">
        <f t="shared" ca="1" si="1"/>
        <v>46088.601330787038</v>
      </c>
      <c r="M8" s="61">
        <f t="shared" ca="1" si="1"/>
        <v>46118.601330787038</v>
      </c>
      <c r="N8" s="61">
        <f t="shared" ca="1" si="1"/>
        <v>46148.601330787038</v>
      </c>
      <c r="O8" s="61">
        <f t="shared" ca="1" si="1"/>
        <v>46178.601330787038</v>
      </c>
      <c r="P8" s="84">
        <f t="shared" ca="1" si="1"/>
        <v>46208.601330787038</v>
      </c>
    </row>
    <row r="9" spans="2:17" s="59" customFormat="1" ht="22.5" customHeight="1">
      <c r="B9" s="63" t="s">
        <v>46</v>
      </c>
      <c r="C9" s="69">
        <f>'資金繰り表データ入力（製造）'!E2</f>
        <v>7500</v>
      </c>
      <c r="D9" s="69">
        <f>'資金繰り表データ入力（製造）'!E3</f>
        <v>8000</v>
      </c>
      <c r="E9" s="69">
        <f>'資金繰り表データ入力（製造）'!E4</f>
        <v>8500</v>
      </c>
      <c r="F9" s="69">
        <f>'資金繰り表データ入力（製造）'!E5</f>
        <v>9000</v>
      </c>
      <c r="G9" s="69">
        <f>'資金繰り表データ入力（製造）'!E6</f>
        <v>9500</v>
      </c>
      <c r="H9" s="69">
        <f>'資金繰り表データ入力（製造）'!E7</f>
        <v>10000</v>
      </c>
      <c r="J9" s="63" t="str">
        <f>B9</f>
        <v>売上</v>
      </c>
      <c r="K9" s="69">
        <f>C9*$P$1</f>
        <v>6000</v>
      </c>
      <c r="L9" s="69">
        <f t="shared" ref="K9:P10" si="2">D9*$P$1</f>
        <v>6400</v>
      </c>
      <c r="M9" s="69">
        <f t="shared" si="2"/>
        <v>6800</v>
      </c>
      <c r="N9" s="69">
        <f t="shared" si="2"/>
        <v>7200</v>
      </c>
      <c r="O9" s="69">
        <f t="shared" si="2"/>
        <v>7600</v>
      </c>
      <c r="P9" s="69">
        <f t="shared" si="2"/>
        <v>8000</v>
      </c>
    </row>
    <row r="10" spans="2:17" s="59" customFormat="1" ht="22.5" customHeight="1">
      <c r="B10" s="90" t="s">
        <v>75</v>
      </c>
      <c r="C10" s="91">
        <f>C9*$E$33+IF($C$35=0,C9*$E$35,0)+IF($C$34=0,C9*$E$34,0)</f>
        <v>2250</v>
      </c>
      <c r="D10" s="91">
        <f>D9*$E$33+IF($C$34=1,$C$9*$E$34,0)+IF($C$35=1,$C$9*$E$35,0)+IF($C$34=0,$D$9*$E$34,0)+IF($C$35=0,$D$9*$E$35,0)</f>
        <v>7650</v>
      </c>
      <c r="E10" s="91">
        <f>E9*$E$33+IF($C$34=2,$C$9*$E$34,0)+IF($C$35=2,$C$9*$E$35,0)+IF($C$34=1,$D$9*$E$34,0)+IF($C$35=1,$D$9*$E$35,0)+IF($C$34=0,$E$9*$E$34,0)+IF($C$35=0,$E$9*$E$35,0)</f>
        <v>8150</v>
      </c>
      <c r="F10" s="91">
        <f>F9*$E$33+IF($C$34=3,$C$9*$E$34,0)+IF($C$35=3,$C$9*$E$35,0)+IF($C$34=2,$D$9*$E$34,0)+IF($C$35=2,$D$9*$E$35,0)+IF($C$34=1,$E$9*$E$34,0)+IF($C$35=1,$E$9*$E$35,0)+IF($C$34=0,$F$9*$E$34,0)+IF($C$35=0,$F$9*$E$35,0)</f>
        <v>8650</v>
      </c>
      <c r="G10" s="91">
        <f>G9*$E$33+IF($C$34=4,$C$9*$E$34,0)+IF($C$35=4,$C$9*$E$35,0)+IF($C$34=3,$D$9*$E$34,0)+IF($C$35=3,$D$9*$E$35,0)+IF($C$34=2,$E$9*$E$34,0)+IF($C$35=2,$E$9*$E$35,0)+IF($C$34=1,$F$9*$E$34,0)+IF($C$35=1,$F$9*$E$35,0)+IF($C$34=0,$G$9*$E$34,0)+IF($C$35=0,$G$9*$E$35,0)</f>
        <v>9150</v>
      </c>
      <c r="H10" s="91">
        <f>H9*$E$33+IF($C$34=5,$C$9*$E$34,0)+IF($C$35=5,$C$9*$E$35,0)+IF($C$34=4,$D$9*$E$34,0)+IF($C$35=4,$D$9*$E$35,0)+IF($C$34=3,$E$9*$E$34,0)+IF($C$35=3,$E$9*$E$35,0)+IF($C$34=2,$F$9*$E$34,0)+IF($C$35=2,$F$9*$E$35,0)+IF($C$34=1,$G$9*$E$34,0)+IF($C$35=1,$G$9*$E$35,0)+IF($C$34=0,$H$9*$E$34,0)+IF($C$35=0,$H$9*$E$35,0)</f>
        <v>9650</v>
      </c>
      <c r="J10" s="90" t="str">
        <f>B10</f>
        <v>入金</v>
      </c>
      <c r="K10" s="91">
        <f t="shared" si="2"/>
        <v>1800</v>
      </c>
      <c r="L10" s="91">
        <f t="shared" si="2"/>
        <v>6120</v>
      </c>
      <c r="M10" s="91">
        <f t="shared" si="2"/>
        <v>6520</v>
      </c>
      <c r="N10" s="91">
        <f t="shared" si="2"/>
        <v>6920</v>
      </c>
      <c r="O10" s="91">
        <f t="shared" si="2"/>
        <v>7320</v>
      </c>
      <c r="P10" s="91">
        <f t="shared" si="2"/>
        <v>7720</v>
      </c>
    </row>
    <row r="11" spans="2:17" s="59" customFormat="1" ht="22.5" customHeight="1">
      <c r="B11" s="67"/>
      <c r="C11" s="72"/>
      <c r="D11" s="72"/>
      <c r="E11" s="72"/>
      <c r="F11" s="72"/>
      <c r="G11" s="72"/>
      <c r="H11" s="72"/>
      <c r="J11" s="67"/>
    </row>
    <row r="12" spans="2:17" s="59" customFormat="1" ht="22.5" customHeight="1">
      <c r="B12" s="60"/>
      <c r="C12" s="61">
        <f ca="1">NOW()+30</f>
        <v>46058.601330787038</v>
      </c>
      <c r="D12" s="61">
        <f ca="1">C12+30</f>
        <v>46088.601330787038</v>
      </c>
      <c r="E12" s="61">
        <f ca="1">D12+30</f>
        <v>46118.601330787038</v>
      </c>
      <c r="F12" s="61">
        <f ca="1">E12+30</f>
        <v>46148.601330787038</v>
      </c>
      <c r="G12" s="61">
        <f ca="1">F12+30</f>
        <v>46178.601330787038</v>
      </c>
      <c r="H12" s="84">
        <f ca="1">G12+30</f>
        <v>46208.601330787038</v>
      </c>
      <c r="J12" s="62"/>
      <c r="K12" s="61">
        <f t="shared" ref="K12:P12" ca="1" si="3">C12</f>
        <v>46058.601330787038</v>
      </c>
      <c r="L12" s="61">
        <f t="shared" ca="1" si="3"/>
        <v>46088.601330787038</v>
      </c>
      <c r="M12" s="61">
        <f t="shared" ca="1" si="3"/>
        <v>46118.601330787038</v>
      </c>
      <c r="N12" s="61">
        <f t="shared" ca="1" si="3"/>
        <v>46148.601330787038</v>
      </c>
      <c r="O12" s="61">
        <f t="shared" ca="1" si="3"/>
        <v>46178.601330787038</v>
      </c>
      <c r="P12" s="84">
        <f t="shared" ca="1" si="3"/>
        <v>46208.601330787038</v>
      </c>
    </row>
    <row r="13" spans="2:17" s="59" customFormat="1" ht="22.5" customHeight="1">
      <c r="B13" s="63" t="s">
        <v>53</v>
      </c>
      <c r="C13" s="69">
        <f>'資金繰り表データ入力（製造）'!H2</f>
        <v>3200</v>
      </c>
      <c r="D13" s="69">
        <f>'資金繰り表データ入力（製造）'!H3</f>
        <v>3300</v>
      </c>
      <c r="E13" s="69">
        <f>'資金繰り表データ入力（製造）'!H4</f>
        <v>3500</v>
      </c>
      <c r="F13" s="69">
        <f>'資金繰り表データ入力（製造）'!H5</f>
        <v>3700</v>
      </c>
      <c r="G13" s="69">
        <f>'資金繰り表データ入力（製造）'!H6</f>
        <v>3800</v>
      </c>
      <c r="H13" s="69">
        <f>'資金繰り表データ入力（製造）'!H7</f>
        <v>4000</v>
      </c>
      <c r="J13" s="63" t="str">
        <f>B13</f>
        <v>仕入</v>
      </c>
      <c r="K13" s="73">
        <f>C13*$P$1</f>
        <v>2560</v>
      </c>
      <c r="L13" s="73">
        <f t="shared" ref="L13:P14" si="4">D13*$P$1</f>
        <v>2640</v>
      </c>
      <c r="M13" s="73">
        <f t="shared" si="4"/>
        <v>2800</v>
      </c>
      <c r="N13" s="73">
        <f t="shared" si="4"/>
        <v>2960</v>
      </c>
      <c r="O13" s="73">
        <f t="shared" si="4"/>
        <v>3040</v>
      </c>
      <c r="P13" s="73">
        <f t="shared" si="4"/>
        <v>3200</v>
      </c>
    </row>
    <row r="14" spans="2:17" s="59" customFormat="1" ht="22.5" customHeight="1">
      <c r="B14" s="90" t="s">
        <v>76</v>
      </c>
      <c r="C14" s="91">
        <f>C13*J33+IF(H35=0,C13*J35,0)+IF(H34=0,C13*J34,0)</f>
        <v>1920</v>
      </c>
      <c r="D14" s="91">
        <f>D13*J33+IF(H34=1,C13*J34,0)+IF(H35=1,C13*J35,0)+IF(H34=0,D13*J34,0)+IF(H35=0,D13*J35,0)</f>
        <v>3260</v>
      </c>
      <c r="E14" s="91">
        <f>E13*J33+IF(H34=2,C13*J34,0)+IF(H35=2,C13*J35,0)+IF(H34=1,D13*J34,0)+IF(H35=1,D13*J35,0)+IF(H34=0,E13*J34,0)+IF(H35=0,E13*J35,0)</f>
        <v>3420</v>
      </c>
      <c r="F14" s="91">
        <f>F13*J33+IF(H34=3,C13*J34,0)+IF(H35=3,C13*J35,0)+IF(H34=2,D13*J34,0)+IF(H35=2,D13*J35,0)+IF(H34=1,E13*J34,0)+IF(H35=1,E13*J35,0)+IF(H34=0,F13*J34,0)+IF(H35=0,F13*J35,0)</f>
        <v>3620</v>
      </c>
      <c r="G14" s="91">
        <f>G13*J33+IF(H34=4,C13*J34,0)+IF(H35=4,C13*J35,0)+IF(H34=3,D13*J34,0)+IF(H35=3,D13*J35,0)+IF(H34=2,E13*J34,0)+IF(H35=2,E13*J35,0)+IF(H34=1,F13*J34,0)+IF(H35=1,F13*J35,0)+IF(H34=0,G13*J34,0)+IF(H35=0,G13*J35,0)</f>
        <v>3760</v>
      </c>
      <c r="H14" s="91">
        <f>H13*J33+IF(H34=5,C13*J34,0)+IF(H35=5,C13*J35,0)+IF(H34=4,D13*J34,0)+IF(H35=4,D13*J35,0)+IF(H34=3,E13*J34,0)+IF(H35=3,E13*J35,0)+IF(H34=2,F13*J34,0)+IF(H35=2,F13*J35,0)+IF(H34=1,G13*J34,0)+IF(H35=1,G13*J35,0)+IF(H34=0,H13*J34,0)+IF(H35=0,H13*J35,0)</f>
        <v>3920</v>
      </c>
      <c r="J14" s="90" t="str">
        <f>B14</f>
        <v>仕入支払</v>
      </c>
      <c r="K14" s="92">
        <f>C14*$P$1</f>
        <v>1536</v>
      </c>
      <c r="L14" s="92">
        <f t="shared" si="4"/>
        <v>2608</v>
      </c>
      <c r="M14" s="92">
        <f t="shared" si="4"/>
        <v>2736</v>
      </c>
      <c r="N14" s="92">
        <f t="shared" si="4"/>
        <v>2896</v>
      </c>
      <c r="O14" s="92">
        <f t="shared" si="4"/>
        <v>3008</v>
      </c>
      <c r="P14" s="92">
        <f t="shared" si="4"/>
        <v>3136</v>
      </c>
    </row>
    <row r="15" spans="2:17" s="59" customFormat="1" ht="22.5" customHeight="1">
      <c r="B15" s="67"/>
      <c r="C15" s="72"/>
      <c r="D15" s="72"/>
      <c r="E15" s="72"/>
      <c r="F15" s="72"/>
      <c r="G15" s="72"/>
      <c r="H15" s="72"/>
      <c r="J15" s="67"/>
      <c r="K15" s="75"/>
      <c r="L15" s="75"/>
      <c r="M15" s="75"/>
      <c r="N15" s="75"/>
      <c r="O15" s="75"/>
      <c r="P15" s="75"/>
    </row>
    <row r="16" spans="2:17" s="59" customFormat="1" ht="22.5" customHeight="1">
      <c r="B16" s="63" t="s">
        <v>48</v>
      </c>
      <c r="C16" s="69">
        <f>'資金繰り表データ入力（製造）'!K2</f>
        <v>0</v>
      </c>
      <c r="D16" s="69">
        <f>'資金繰り表データ入力（製造）'!K3</f>
        <v>0</v>
      </c>
      <c r="E16" s="69">
        <f>'資金繰り表データ入力（製造）'!K4</f>
        <v>0</v>
      </c>
      <c r="F16" s="69">
        <f>'資金繰り表データ入力（製造）'!K5</f>
        <v>0</v>
      </c>
      <c r="G16" s="69">
        <f>'資金繰り表データ入力（製造）'!K6</f>
        <v>0</v>
      </c>
      <c r="H16" s="69">
        <f>'資金繰り表データ入力（製造）'!K7</f>
        <v>0</v>
      </c>
      <c r="J16" s="63" t="s">
        <v>48</v>
      </c>
      <c r="K16" s="73">
        <f t="shared" ref="K16:P16" si="5">C16*$P$1</f>
        <v>0</v>
      </c>
      <c r="L16" s="73">
        <f t="shared" si="5"/>
        <v>0</v>
      </c>
      <c r="M16" s="73">
        <f t="shared" si="5"/>
        <v>0</v>
      </c>
      <c r="N16" s="73">
        <f t="shared" si="5"/>
        <v>0</v>
      </c>
      <c r="O16" s="73">
        <f t="shared" si="5"/>
        <v>0</v>
      </c>
      <c r="P16" s="73">
        <f t="shared" si="5"/>
        <v>0</v>
      </c>
    </row>
    <row r="17" spans="2:16" s="59" customFormat="1" ht="22.5" customHeight="1">
      <c r="B17" s="63" t="s">
        <v>49</v>
      </c>
      <c r="C17" s="69">
        <f>'資金繰り表データ入力（製造）'!M2</f>
        <v>2200</v>
      </c>
      <c r="D17" s="69">
        <f>'資金繰り表データ入力（製造）'!M3</f>
        <v>2250</v>
      </c>
      <c r="E17" s="69">
        <f>'資金繰り表データ入力（製造）'!M4</f>
        <v>2300</v>
      </c>
      <c r="F17" s="69">
        <f>'資金繰り表データ入力（製造）'!M5</f>
        <v>2350</v>
      </c>
      <c r="G17" s="69">
        <f>'資金繰り表データ入力（製造）'!M6</f>
        <v>2400</v>
      </c>
      <c r="H17" s="69">
        <f>'資金繰り表データ入力（製造）'!M7</f>
        <v>2500</v>
      </c>
      <c r="J17" s="63" t="str">
        <f t="shared" ref="J17:K22" si="6">B17</f>
        <v>労務費</v>
      </c>
      <c r="K17" s="73">
        <f t="shared" si="6"/>
        <v>2200</v>
      </c>
      <c r="L17" s="73">
        <f t="shared" ref="L17:P22" si="7">D17</f>
        <v>2250</v>
      </c>
      <c r="M17" s="73">
        <f t="shared" si="7"/>
        <v>2300</v>
      </c>
      <c r="N17" s="73">
        <f t="shared" si="7"/>
        <v>2350</v>
      </c>
      <c r="O17" s="73">
        <f t="shared" si="7"/>
        <v>2400</v>
      </c>
      <c r="P17" s="73">
        <f t="shared" si="7"/>
        <v>2500</v>
      </c>
    </row>
    <row r="18" spans="2:16" s="59" customFormat="1" ht="22.5" customHeight="1">
      <c r="B18" s="63" t="s">
        <v>77</v>
      </c>
      <c r="C18" s="69">
        <f>'資金繰り表データ入力（製造）'!E8</f>
        <v>1200</v>
      </c>
      <c r="D18" s="69">
        <f>C18</f>
        <v>1200</v>
      </c>
      <c r="E18" s="69">
        <f>D18</f>
        <v>1200</v>
      </c>
      <c r="F18" s="69">
        <f>E18</f>
        <v>1200</v>
      </c>
      <c r="G18" s="69">
        <f>F18</f>
        <v>1200</v>
      </c>
      <c r="H18" s="69">
        <f>G18</f>
        <v>1200</v>
      </c>
      <c r="J18" s="63" t="str">
        <f t="shared" si="6"/>
        <v>人件費</v>
      </c>
      <c r="K18" s="73">
        <f t="shared" si="6"/>
        <v>1200</v>
      </c>
      <c r="L18" s="73">
        <f>D18</f>
        <v>1200</v>
      </c>
      <c r="M18" s="73">
        <f t="shared" si="7"/>
        <v>1200</v>
      </c>
      <c r="N18" s="73">
        <f t="shared" si="7"/>
        <v>1200</v>
      </c>
      <c r="O18" s="73">
        <f t="shared" si="7"/>
        <v>1200</v>
      </c>
      <c r="P18" s="73">
        <f t="shared" si="7"/>
        <v>1200</v>
      </c>
    </row>
    <row r="19" spans="2:16" s="59" customFormat="1" ht="22.5" customHeight="1">
      <c r="B19" s="63" t="s">
        <v>78</v>
      </c>
      <c r="C19" s="69">
        <f>'資金繰り表データ入力（製造）'!E9</f>
        <v>2200</v>
      </c>
      <c r="D19" s="69">
        <f t="shared" ref="D19:H22" si="8">C19</f>
        <v>2200</v>
      </c>
      <c r="E19" s="69">
        <f t="shared" si="8"/>
        <v>2200</v>
      </c>
      <c r="F19" s="69">
        <f t="shared" si="8"/>
        <v>2200</v>
      </c>
      <c r="G19" s="69">
        <f t="shared" si="8"/>
        <v>2200</v>
      </c>
      <c r="H19" s="69">
        <f t="shared" si="8"/>
        <v>2200</v>
      </c>
      <c r="J19" s="63" t="str">
        <f t="shared" si="6"/>
        <v>営業経費</v>
      </c>
      <c r="K19" s="73">
        <f t="shared" si="6"/>
        <v>2200</v>
      </c>
      <c r="L19" s="73">
        <f>D19</f>
        <v>2200</v>
      </c>
      <c r="M19" s="73">
        <f t="shared" si="7"/>
        <v>2200</v>
      </c>
      <c r="N19" s="73">
        <f t="shared" si="7"/>
        <v>2200</v>
      </c>
      <c r="O19" s="73">
        <f t="shared" si="7"/>
        <v>2200</v>
      </c>
      <c r="P19" s="73">
        <f t="shared" si="7"/>
        <v>2200</v>
      </c>
    </row>
    <row r="20" spans="2:16" s="59" customFormat="1" ht="22.5" customHeight="1">
      <c r="B20" s="63" t="s">
        <v>50</v>
      </c>
      <c r="C20" s="69">
        <f>'資金繰り表データ入力（製造）'!E10</f>
        <v>225</v>
      </c>
      <c r="D20" s="69">
        <f t="shared" si="8"/>
        <v>225</v>
      </c>
      <c r="E20" s="69">
        <f t="shared" si="8"/>
        <v>225</v>
      </c>
      <c r="F20" s="69">
        <f t="shared" si="8"/>
        <v>225</v>
      </c>
      <c r="G20" s="69">
        <f t="shared" si="8"/>
        <v>225</v>
      </c>
      <c r="H20" s="69">
        <f t="shared" si="8"/>
        <v>225</v>
      </c>
      <c r="J20" s="63" t="str">
        <f t="shared" si="6"/>
        <v>支払利息</v>
      </c>
      <c r="K20" s="73">
        <f t="shared" si="6"/>
        <v>225</v>
      </c>
      <c r="L20" s="73">
        <f>D20</f>
        <v>225</v>
      </c>
      <c r="M20" s="73">
        <f t="shared" si="7"/>
        <v>225</v>
      </c>
      <c r="N20" s="73">
        <f t="shared" si="7"/>
        <v>225</v>
      </c>
      <c r="O20" s="73">
        <f t="shared" si="7"/>
        <v>225</v>
      </c>
      <c r="P20" s="73">
        <f t="shared" si="7"/>
        <v>225</v>
      </c>
    </row>
    <row r="21" spans="2:16" s="59" customFormat="1" ht="22.5" customHeight="1">
      <c r="B21" s="63" t="s">
        <v>80</v>
      </c>
      <c r="C21" s="69">
        <f>'資金繰り表データ入力（製造）'!E12</f>
        <v>120</v>
      </c>
      <c r="D21" s="69">
        <f t="shared" si="8"/>
        <v>120</v>
      </c>
      <c r="E21" s="69">
        <f t="shared" si="8"/>
        <v>120</v>
      </c>
      <c r="F21" s="69">
        <f t="shared" si="8"/>
        <v>120</v>
      </c>
      <c r="G21" s="69">
        <f t="shared" si="8"/>
        <v>120</v>
      </c>
      <c r="H21" s="69">
        <f t="shared" si="8"/>
        <v>120</v>
      </c>
      <c r="J21" s="63" t="str">
        <f t="shared" si="6"/>
        <v>税金・社会保険料</v>
      </c>
      <c r="K21" s="73">
        <f t="shared" si="6"/>
        <v>120</v>
      </c>
      <c r="L21" s="73">
        <f>D21</f>
        <v>120</v>
      </c>
      <c r="M21" s="73">
        <f t="shared" si="7"/>
        <v>120</v>
      </c>
      <c r="N21" s="73">
        <f t="shared" si="7"/>
        <v>120</v>
      </c>
      <c r="O21" s="73">
        <f t="shared" si="7"/>
        <v>120</v>
      </c>
      <c r="P21" s="73">
        <f t="shared" si="7"/>
        <v>120</v>
      </c>
    </row>
    <row r="22" spans="2:16" s="59" customFormat="1" ht="22.5" customHeight="1">
      <c r="B22" s="63" t="s">
        <v>81</v>
      </c>
      <c r="C22" s="69">
        <f>'資金繰り表データ入力（製造）'!E13</f>
        <v>0</v>
      </c>
      <c r="D22" s="69">
        <f t="shared" si="8"/>
        <v>0</v>
      </c>
      <c r="E22" s="69">
        <f t="shared" si="8"/>
        <v>0</v>
      </c>
      <c r="F22" s="69">
        <f t="shared" si="8"/>
        <v>0</v>
      </c>
      <c r="G22" s="69">
        <f t="shared" si="8"/>
        <v>0</v>
      </c>
      <c r="H22" s="69">
        <f t="shared" si="8"/>
        <v>0</v>
      </c>
      <c r="J22" s="63" t="str">
        <f t="shared" si="6"/>
        <v>その他支払経費</v>
      </c>
      <c r="K22" s="73">
        <f t="shared" si="6"/>
        <v>0</v>
      </c>
      <c r="L22" s="73">
        <f>D22</f>
        <v>0</v>
      </c>
      <c r="M22" s="73">
        <f t="shared" si="7"/>
        <v>0</v>
      </c>
      <c r="N22" s="73">
        <f t="shared" si="7"/>
        <v>0</v>
      </c>
      <c r="O22" s="73">
        <f t="shared" si="7"/>
        <v>0</v>
      </c>
      <c r="P22" s="73">
        <f t="shared" si="7"/>
        <v>0</v>
      </c>
    </row>
    <row r="23" spans="2:16" s="59" customFormat="1" ht="22.5" customHeight="1">
      <c r="B23" s="90" t="s">
        <v>82</v>
      </c>
      <c r="C23" s="91">
        <f t="shared" ref="C23:H23" si="9">C14+SUM(C16:C22)</f>
        <v>7865</v>
      </c>
      <c r="D23" s="91">
        <f t="shared" si="9"/>
        <v>9255</v>
      </c>
      <c r="E23" s="91">
        <f t="shared" si="9"/>
        <v>9465</v>
      </c>
      <c r="F23" s="91">
        <f t="shared" si="9"/>
        <v>9715</v>
      </c>
      <c r="G23" s="91">
        <f t="shared" si="9"/>
        <v>9905</v>
      </c>
      <c r="H23" s="91">
        <f t="shared" si="9"/>
        <v>10165</v>
      </c>
      <c r="J23" s="90" t="str">
        <f>B23</f>
        <v>支出合計</v>
      </c>
      <c r="K23" s="92">
        <f t="shared" ref="K23:P23" si="10">K14+SUM(K16:K22)</f>
        <v>7481</v>
      </c>
      <c r="L23" s="92">
        <f t="shared" si="10"/>
        <v>8603</v>
      </c>
      <c r="M23" s="92">
        <f t="shared" si="10"/>
        <v>8781</v>
      </c>
      <c r="N23" s="92">
        <f t="shared" si="10"/>
        <v>8991</v>
      </c>
      <c r="O23" s="92">
        <f t="shared" si="10"/>
        <v>9153</v>
      </c>
      <c r="P23" s="92">
        <f t="shared" si="10"/>
        <v>9381</v>
      </c>
    </row>
    <row r="24" spans="2:16" s="59" customFormat="1" ht="22.5" customHeight="1">
      <c r="B24" s="90" t="s">
        <v>83</v>
      </c>
      <c r="C24" s="93">
        <f t="shared" ref="C24:H24" si="11">C10-C23</f>
        <v>-5615</v>
      </c>
      <c r="D24" s="93">
        <f t="shared" si="11"/>
        <v>-1605</v>
      </c>
      <c r="E24" s="93">
        <f t="shared" si="11"/>
        <v>-1315</v>
      </c>
      <c r="F24" s="93">
        <f t="shared" si="11"/>
        <v>-1065</v>
      </c>
      <c r="G24" s="93">
        <f t="shared" si="11"/>
        <v>-755</v>
      </c>
      <c r="H24" s="93">
        <f t="shared" si="11"/>
        <v>-515</v>
      </c>
      <c r="J24" s="90" t="str">
        <f>B24</f>
        <v>当月収支</v>
      </c>
      <c r="K24" s="93">
        <f t="shared" ref="K24:P24" si="12">K10-K23</f>
        <v>-5681</v>
      </c>
      <c r="L24" s="93">
        <f t="shared" si="12"/>
        <v>-2483</v>
      </c>
      <c r="M24" s="93">
        <f t="shared" si="12"/>
        <v>-2261</v>
      </c>
      <c r="N24" s="93">
        <f t="shared" si="12"/>
        <v>-2071</v>
      </c>
      <c r="O24" s="93">
        <f t="shared" si="12"/>
        <v>-1833</v>
      </c>
      <c r="P24" s="93">
        <f t="shared" si="12"/>
        <v>-1661</v>
      </c>
    </row>
    <row r="25" spans="2:16" s="59" customFormat="1" ht="22.5" customHeight="1">
      <c r="B25" s="63" t="s">
        <v>79</v>
      </c>
      <c r="C25" s="69">
        <f>'資金繰り表データ入力（製造）'!E11</f>
        <v>250</v>
      </c>
      <c r="D25" s="69">
        <f>C25</f>
        <v>250</v>
      </c>
      <c r="E25" s="69">
        <f>D25</f>
        <v>250</v>
      </c>
      <c r="F25" s="69">
        <f>E25</f>
        <v>250</v>
      </c>
      <c r="G25" s="69">
        <f>F25</f>
        <v>250</v>
      </c>
      <c r="H25" s="69">
        <f>G25</f>
        <v>250</v>
      </c>
      <c r="J25" s="63" t="str">
        <f>B25</f>
        <v>借入金返済</v>
      </c>
      <c r="K25" s="73">
        <f t="shared" ref="K25:P25" si="13">C25</f>
        <v>250</v>
      </c>
      <c r="L25" s="73">
        <f t="shared" si="13"/>
        <v>250</v>
      </c>
      <c r="M25" s="73">
        <f t="shared" si="13"/>
        <v>250</v>
      </c>
      <c r="N25" s="73">
        <f t="shared" si="13"/>
        <v>250</v>
      </c>
      <c r="O25" s="73">
        <f t="shared" si="13"/>
        <v>250</v>
      </c>
      <c r="P25" s="73">
        <f t="shared" si="13"/>
        <v>250</v>
      </c>
    </row>
    <row r="26" spans="2:16" s="59" customFormat="1" ht="22.5" customHeight="1">
      <c r="B26" s="63" t="s">
        <v>94</v>
      </c>
      <c r="C26" s="69"/>
      <c r="D26" s="69"/>
      <c r="E26" s="69"/>
      <c r="F26" s="69"/>
      <c r="G26" s="69"/>
      <c r="H26" s="69"/>
      <c r="J26" s="63" t="str">
        <f>B26</f>
        <v>借入金調達</v>
      </c>
      <c r="K26" s="73"/>
      <c r="L26" s="73"/>
      <c r="M26" s="73"/>
      <c r="N26" s="73"/>
      <c r="O26" s="73"/>
      <c r="P26" s="73"/>
    </row>
    <row r="27" spans="2:16" s="59" customFormat="1" ht="22.5" customHeight="1">
      <c r="B27" s="77" t="s">
        <v>84</v>
      </c>
      <c r="C27" s="78">
        <f t="shared" ref="C27:H27" si="14">C6+C24-C25+C26</f>
        <v>24135</v>
      </c>
      <c r="D27" s="78">
        <f t="shared" si="14"/>
        <v>22280</v>
      </c>
      <c r="E27" s="78">
        <f t="shared" si="14"/>
        <v>20715</v>
      </c>
      <c r="F27" s="78">
        <f t="shared" si="14"/>
        <v>19400</v>
      </c>
      <c r="G27" s="78">
        <f t="shared" si="14"/>
        <v>18395</v>
      </c>
      <c r="H27" s="78">
        <f t="shared" si="14"/>
        <v>17630</v>
      </c>
      <c r="J27" s="77" t="str">
        <f>B27</f>
        <v>月末現金残高</v>
      </c>
      <c r="K27" s="78">
        <f t="shared" ref="K27:P27" si="15">K6+K24-K25+K26</f>
        <v>24069</v>
      </c>
      <c r="L27" s="78">
        <f t="shared" si="15"/>
        <v>21336</v>
      </c>
      <c r="M27" s="78">
        <f t="shared" si="15"/>
        <v>18825</v>
      </c>
      <c r="N27" s="78">
        <f t="shared" si="15"/>
        <v>16504</v>
      </c>
      <c r="O27" s="78">
        <f t="shared" si="15"/>
        <v>14421</v>
      </c>
      <c r="P27" s="78">
        <f t="shared" si="15"/>
        <v>12510</v>
      </c>
    </row>
    <row r="32" spans="2:16">
      <c r="B32" s="49" t="s">
        <v>46</v>
      </c>
      <c r="G32" s="49" t="s">
        <v>53</v>
      </c>
      <c r="H32" s="46"/>
      <c r="I32" s="46"/>
      <c r="J32" s="46"/>
    </row>
    <row r="33" spans="2:10">
      <c r="B33" s="79" t="s">
        <v>85</v>
      </c>
      <c r="C33" s="81"/>
      <c r="D33" s="82"/>
      <c r="E33" s="80">
        <f>'資金繰り表データ入力（製造）'!E15</f>
        <v>0.3</v>
      </c>
      <c r="G33" s="83" t="s">
        <v>85</v>
      </c>
      <c r="H33" s="325"/>
      <c r="I33" s="326"/>
      <c r="J33" s="80">
        <f>'資金繰り表データ入力（製造）'!E18</f>
        <v>0.6</v>
      </c>
    </row>
    <row r="34" spans="2:10">
      <c r="B34" s="79" t="s">
        <v>86</v>
      </c>
      <c r="C34" s="83">
        <f>'資金繰り表データ入力（製造）'!G16</f>
        <v>1</v>
      </c>
      <c r="D34" s="83" t="s">
        <v>87</v>
      </c>
      <c r="E34" s="80">
        <f>'資金繰り表データ入力（製造）'!E16</f>
        <v>0.7</v>
      </c>
      <c r="G34" s="83" t="s">
        <v>88</v>
      </c>
      <c r="H34" s="83">
        <f>'資金繰り表データ入力（製造）'!G19</f>
        <v>1</v>
      </c>
      <c r="I34" s="83" t="s">
        <v>87</v>
      </c>
      <c r="J34" s="80">
        <f>'資金繰り表データ入力（製造）'!E19</f>
        <v>0.4</v>
      </c>
    </row>
    <row r="35" spans="2:10">
      <c r="B35" s="79" t="s">
        <v>89</v>
      </c>
      <c r="C35" s="83">
        <f>'資金繰り表データ入力（製造）'!G17</f>
        <v>3</v>
      </c>
      <c r="D35" s="83" t="s">
        <v>87</v>
      </c>
      <c r="E35" s="80">
        <f>'資金繰り表データ入力（製造）'!E17</f>
        <v>0</v>
      </c>
      <c r="G35" s="83" t="s">
        <v>90</v>
      </c>
      <c r="H35" s="83">
        <f>'資金繰り表データ入力（製造）'!G20</f>
        <v>0</v>
      </c>
      <c r="I35" s="83" t="s">
        <v>87</v>
      </c>
      <c r="J35" s="80">
        <f>'資金繰り表データ入力（製造）'!E20</f>
        <v>0</v>
      </c>
    </row>
    <row r="37" spans="2:10">
      <c r="B37" s="49" t="s">
        <v>96</v>
      </c>
      <c r="C37" t="s">
        <v>97</v>
      </c>
    </row>
    <row r="38" spans="2:10">
      <c r="B38" s="49"/>
      <c r="C38" t="s">
        <v>98</v>
      </c>
    </row>
  </sheetData>
  <mergeCells count="4">
    <mergeCell ref="C1:N1"/>
    <mergeCell ref="B4:E4"/>
    <mergeCell ref="J4:M4"/>
    <mergeCell ref="H33:I33"/>
  </mergeCells>
  <phoneticPr fontId="3"/>
  <pageMargins left="0.7" right="0.7" top="0.75" bottom="0.75" header="0.3" footer="0.3"/>
  <pageSetup paperSize="8"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資金繰り表データ入力バージョン2 (原本)</vt:lpstr>
      <vt:lpstr>資金繰り表　バージョン2 (2)</vt:lpstr>
      <vt:lpstr>資金繰り表データ入力バージョン2 (2)</vt:lpstr>
      <vt:lpstr>資金繰り予定表</vt:lpstr>
      <vt:lpstr>資金繰り予定表データ入力</vt:lpstr>
      <vt:lpstr>資金繰り表 (製造業向け)</vt:lpstr>
      <vt:lpstr>資金繰り表データ入力バージョン2　製造</vt:lpstr>
      <vt:lpstr>資金繰り表データ入力（製造）</vt:lpstr>
      <vt:lpstr>資金繰り表（製造業向け。事業者提出用）</vt:lpstr>
      <vt:lpstr>資金繰り表作成支援シート(旧)</vt:lpstr>
      <vt:lpstr>'資金繰り表 (製造業向け)'!Print_Area</vt:lpstr>
      <vt:lpstr>'資金繰り表　バージョン2 (2)'!Print_Area</vt:lpstr>
      <vt:lpstr>'資金繰り表（製造業向け。事業者提出用）'!Print_Area</vt:lpstr>
      <vt:lpstr>'資金繰り表データ入力バージョン2 (2)'!Print_Area</vt:lpstr>
      <vt:lpstr>'資金繰り表データ入力バージョン2 (原本)'!Print_Area</vt:lpstr>
      <vt:lpstr>'資金繰り表作成支援シート(旧)'!Print_Area</vt:lpstr>
      <vt:lpstr>資金繰り予定表!Print_Area</vt:lpstr>
      <vt:lpstr>資金繰り予定表データ入力!Print_Area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八木澤　俊</dc:creator>
  <cp:lastModifiedBy>人見 真美</cp:lastModifiedBy>
  <cp:lastPrinted>2025-12-19T06:04:50Z</cp:lastPrinted>
  <dcterms:created xsi:type="dcterms:W3CDTF">2020-12-23T05:56:37Z</dcterms:created>
  <dcterms:modified xsi:type="dcterms:W3CDTF">2026-01-06T05:26:13Z</dcterms:modified>
</cp:coreProperties>
</file>